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C25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verify date due to holiday</t>
        </r>
      </text>
    </comment>
    <comment ref="C2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verify date due to holiday</t>
        </r>
      </text>
    </comment>
    <comment ref="C31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verify date due to holiday</t>
        </r>
      </text>
    </comment>
  </commentList>
</comments>
</file>

<file path=xl/sharedStrings.xml><?xml version="1.0" encoding="utf-8"?>
<sst xmlns="http://schemas.openxmlformats.org/spreadsheetml/2006/main" count="955" uniqueCount="296">
  <si>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</si>
  <si>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</si>
  <si>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</si>
  <si>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</si>
  <si>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</si>
  <si>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</si>
  <si>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</si>
  <si>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</si>
  <si>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</si>
  <si>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</si>
  <si>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</si>
  <si>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</si>
  <si>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</si>
  <si>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</si>
  <si>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</si>
  <si>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</si>
  <si>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</si>
  <si>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</si>
  <si>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</si>
  <si>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</si>
  <si>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</si>
  <si>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</si>
  <si>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</si>
  <si>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</si>
  <si>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</si>
  <si>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</si>
  <si>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</si>
  <si>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</si>
  <si>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</si>
  <si>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</si>
  <si>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</si>
  <si>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</si>
  <si>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</si>
  <si>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</si>
  <si>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</si>
  <si>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</si>
  <si>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</si>
  <si>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</si>
  <si>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</si>
  <si>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</si>
  <si>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</si>
  <si>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</si>
  <si>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</si>
  <si>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</si>
  <si>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</si>
  <si>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</si>
  <si>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</si>
  <si>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</si>
  <si>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</si>
  <si>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</si>
  <si>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</si>
  <si>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</si>
  <si>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</si>
  <si>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</si>
  <si>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</si>
  <si>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</si>
  <si>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</si>
  <si>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</si>
  <si>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</si>
  <si>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</si>
  <si>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</si>
  <si>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</si>
  <si>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</si>
  <si>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</si>
  <si>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</si>
  <si>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</si>
  <si>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</si>
  <si>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</si>
  <si>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</si>
  <si>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</si>
  <si>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</si>
  <si>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</si>
  <si>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</si>
  <si>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</si>
  <si>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</si>
  <si>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</si>
  <si>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</si>
  <si>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</si>
  <si>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</si>
  <si>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</si>
  <si>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</si>
  <si>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</si>
  <si>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</si>
  <si>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</si>
  <si>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</si>
  <si>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</si>
  <si>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</si>
  <si>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</si>
  <si>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</si>
  <si>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</si>
  <si>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</si>
  <si>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</si>
  <si>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</si>
  <si>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</si>
  <si>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</si>
  <si>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</si>
  <si>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</si>
  <si>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</si>
  <si>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</si>
  <si>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</si>
  <si>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</si>
  <si>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</si>
  <si>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</si>
  <si>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</si>
  <si>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</si>
  <si>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</si>
  <si>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</si>
  <si>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</si>
  <si>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</si>
  <si>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</si>
  <si>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</si>
  <si>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</si>
  <si>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</si>
  <si>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</si>
  <si>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</si>
  <si>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</si>
  <si>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</si>
  <si>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</si>
  <si>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</si>
  <si>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</si>
  <si>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</si>
  <si>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</si>
  <si>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</si>
  <si>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</si>
  <si>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</si>
  <si>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</si>
  <si>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</si>
  <si>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</si>
  <si>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</si>
  <si>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</si>
  <si>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</si>
  <si>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</si>
  <si>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</si>
  <si>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</si>
  <si>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</si>
  <si>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</si>
  <si>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</si>
  <si>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</si>
  <si>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</si>
  <si>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</si>
  <si>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</si>
  <si>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</si>
  <si>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</si>
  <si>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</si>
  <si>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</si>
  <si>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</si>
  <si>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</si>
  <si>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</si>
  <si>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</si>
  <si>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</si>
  <si>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</si>
  <si>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</si>
  <si>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</si>
  <si>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</si>
  <si>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</si>
  <si>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</si>
  <si>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</si>
  <si>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</si>
  <si>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</si>
  <si>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</si>
  <si>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</si>
  <si>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</si>
  <si>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</si>
  <si>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</si>
  <si>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</si>
  <si>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</si>
  <si>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</si>
  <si>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</si>
  <si>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</si>
  <si>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</si>
  <si>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</si>
  <si>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</si>
  <si>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</si>
  <si>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</si>
  <si>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</si>
  <si>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</si>
  <si>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</si>
  <si>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</si>
  <si>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</si>
  <si>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</si>
  <si>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</si>
  <si>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</si>
  <si>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</si>
  <si>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</si>
  <si>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</si>
  <si>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</si>
  <si>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</si>
  <si>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</si>
  <si>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</si>
  <si>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</si>
  <si>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</si>
  <si>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</si>
  <si>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</si>
  <si>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</si>
  <si>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</si>
  <si>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</si>
  <si>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</si>
  <si>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</si>
  <si>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</si>
  <si>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</si>
  <si>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</si>
  <si>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</si>
  <si>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</si>
  <si>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</si>
  <si>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</si>
  <si>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</si>
  <si>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</si>
  <si>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</si>
  <si>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</si>
  <si>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</si>
  <si>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</si>
  <si>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</si>
  <si>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</si>
  <si>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 xml:space="preserve">    &lt;&lt; SOUTHWESTERN TRANSMISSION COMPANY &gt;&gt;</t>
  </si>
  <si>
    <t>* SPP bills customer on third business day, SWTCo recieves on 24th or next business day.</t>
  </si>
  <si>
    <t>AEPTCo Formula Rate -- FERC Docket ER10-355</t>
  </si>
  <si>
    <t>Initial Projected Jul'10-Jun'11 network ATRR was $6,400 // PTP $0.07</t>
  </si>
  <si>
    <t>2011 update projected SWTCo ARR = $139,250 // PTP rate $1.45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</si>
  <si>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Southwestern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</si>
  <si>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2010 True-Up SWTCo ARR = $111,699 // PTP rate $1.16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</si>
  <si>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</si>
  <si>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</si>
  <si>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</si>
  <si>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</si>
  <si>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</si>
  <si>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</si>
  <si>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</si>
  <si>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</si>
  <si>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</si>
  <si>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</si>
  <si>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</si>
  <si>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</si>
  <si>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</si>
  <si>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</si>
  <si>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</si>
  <si>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</si>
  <si>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</si>
  <si>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</si>
  <si>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</si>
  <si>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</si>
  <si>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</si>
  <si>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</si>
  <si>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</si>
  <si>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 xml:space="preserve">   5/14/2012:  SPP now has formulaic rate, expect this rate to be</t>
  </si>
  <si>
    <t>2012 update projected ARR = $113,636 // PTP rate $1.14</t>
  </si>
  <si>
    <t>2011 True-Up SWTCo ARR = $104,031 // PTP rate $1.04</t>
  </si>
  <si>
    <t>TBD 5/2014</t>
  </si>
  <si>
    <t>from 2011 Update*</t>
  </si>
  <si>
    <t xml:space="preserve"> from 2012 update*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</si>
  <si>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</si>
  <si>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2013 update projected ARR = $189,012 // PTP rate $1.93</t>
  </si>
  <si>
    <t>2012 True-Up SWTCo ARR = $189,125 // PTP rate $1.93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</si>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</sst>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0" fontId="0" fillId="0" borderId="35" xfId="59" applyNumberFormat="1" applyFont="1" applyBorder="1" applyAlignment="1" quotePrefix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164" fontId="10" fillId="0" borderId="37" xfId="0" applyNumberFormat="1" applyFont="1" applyBorder="1" applyAlignment="1">
      <alignment horizontal="center" wrapText="1"/>
    </xf>
    <xf numFmtId="164" fontId="2" fillId="0" borderId="37" xfId="0" applyNumberFormat="1" applyFont="1" applyBorder="1" applyAlignment="1" quotePrefix="1">
      <alignment horizontal="center" wrapText="1"/>
    </xf>
    <xf numFmtId="164" fontId="2" fillId="0" borderId="3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2" fillId="0" borderId="11" xfId="0" applyNumberFormat="1" applyFont="1" applyBorder="1" applyAlignment="1" quotePrefix="1">
      <alignment horizontal="center" wrapText="1"/>
    </xf>
    <xf numFmtId="164" fontId="2" fillId="0" borderId="39" xfId="0" applyNumberFormat="1" applyFont="1" applyBorder="1" applyAlignment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4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43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4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6" xfId="44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9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50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1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0" borderId="3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0" fillId="35" borderId="21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5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2" fillId="0" borderId="59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0" xfId="0" applyNumberFormat="1" applyBorder="1" applyAlignment="1">
      <alignment/>
    </xf>
    <xf numFmtId="171" fontId="0" fillId="0" borderId="0" xfId="59" applyNumberFormat="1" applyFont="1" applyBorder="1" applyAlignment="1">
      <alignment horizontal="center"/>
    </xf>
    <xf numFmtId="166" fontId="1" fillId="33" borderId="61" xfId="44" applyNumberFormat="1" applyFont="1" applyFill="1" applyBorder="1" applyAlignment="1">
      <alignment vertical="center"/>
    </xf>
    <xf numFmtId="0" fontId="10" fillId="33" borderId="62" xfId="0" applyFont="1" applyFill="1" applyBorder="1" applyAlignment="1" quotePrefix="1">
      <alignment horizontal="left" vertical="center" wrapText="1"/>
    </xf>
    <xf numFmtId="166" fontId="0" fillId="33" borderId="23" xfId="44" applyNumberFormat="1" applyFont="1" applyFill="1" applyBorder="1" applyAlignment="1">
      <alignment vertical="center"/>
    </xf>
    <xf numFmtId="166" fontId="0" fillId="33" borderId="24" xfId="44" applyNumberFormat="1" applyFont="1" applyFill="1" applyBorder="1" applyAlignment="1">
      <alignment vertical="center"/>
    </xf>
    <xf numFmtId="0" fontId="1" fillId="0" borderId="36" xfId="0" applyFont="1" applyBorder="1" applyAlignment="1" quotePrefix="1">
      <alignment horizontal="left" vertical="center" wrapText="1"/>
    </xf>
    <xf numFmtId="0" fontId="10" fillId="0" borderId="62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1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0" fillId="0" borderId="33" xfId="0" applyFont="1" applyBorder="1" applyAlignment="1" quotePrefix="1">
      <alignment horizontal="center"/>
    </xf>
    <xf numFmtId="44" fontId="13" fillId="38" borderId="56" xfId="44" applyFont="1" applyFill="1" applyBorder="1" applyAlignment="1">
      <alignment/>
    </xf>
    <xf numFmtId="44" fontId="13" fillId="38" borderId="63" xfId="0" applyNumberFormat="1" applyFont="1" applyFill="1" applyBorder="1" applyAlignment="1">
      <alignment horizontal="center"/>
    </xf>
    <xf numFmtId="164" fontId="19" fillId="0" borderId="2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4" fontId="13" fillId="34" borderId="56" xfId="44" applyFont="1" applyFill="1" applyBorder="1" applyAlignment="1">
      <alignment/>
    </xf>
    <xf numFmtId="44" fontId="13" fillId="34" borderId="63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 quotePrefix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72" fontId="0" fillId="35" borderId="32" xfId="0" applyNumberFormat="1" applyFill="1" applyBorder="1" applyAlignment="1">
      <alignment horizontal="center"/>
    </xf>
    <xf numFmtId="44" fontId="13" fillId="35" borderId="56" xfId="44" applyFont="1" applyFill="1" applyBorder="1" applyAlignment="1">
      <alignment horizontal="center"/>
    </xf>
    <xf numFmtId="44" fontId="13" fillId="35" borderId="56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64" fontId="3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0" xfId="0" applyFont="1" applyAlignment="1" quotePrefix="1">
      <alignment horizontal="center" vertical="center" wrapText="1"/>
    </xf>
    <xf numFmtId="0" fontId="13" fillId="0" borderId="0" xfId="0" applyFont="1" applyFill="1" applyAlignment="1" quotePrefix="1">
      <alignment horizontal="left"/>
    </xf>
    <xf numFmtId="0" fontId="13" fillId="39" borderId="0" xfId="0" applyFont="1" applyFill="1" applyAlignment="1" quotePrefix="1">
      <alignment horizontal="left"/>
    </xf>
    <xf numFmtId="0" fontId="13" fillId="0" borderId="0" xfId="0" applyFont="1" applyAlignment="1" quotePrefix="1">
      <alignment horizontal="left"/>
    </xf>
    <xf numFmtId="44" fontId="13" fillId="39" borderId="56" xfId="44" applyFont="1" applyFill="1" applyBorder="1" applyAlignment="1">
      <alignment/>
    </xf>
    <xf numFmtId="44" fontId="13" fillId="39" borderId="57" xfId="44" applyFont="1" applyFill="1" applyBorder="1" applyAlignment="1">
      <alignment/>
    </xf>
    <xf numFmtId="44" fontId="13" fillId="39" borderId="63" xfId="44" applyFont="1" applyFill="1" applyBorder="1" applyAlignment="1">
      <alignment/>
    </xf>
    <xf numFmtId="172" fontId="0" fillId="36" borderId="34" xfId="0" applyNumberFormat="1" applyFill="1" applyBorder="1" applyAlignment="1">
      <alignment horizontal="center"/>
    </xf>
    <xf numFmtId="44" fontId="13" fillId="36" borderId="63" xfId="44" applyFont="1" applyFill="1" applyBorder="1" applyAlignment="1">
      <alignment horizontal="center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168" fontId="8" fillId="0" borderId="49" xfId="0" applyNumberFormat="1" applyFont="1" applyFill="1" applyBorder="1" applyAlignment="1">
      <alignment horizontal="center" vertical="center"/>
    </xf>
    <xf numFmtId="168" fontId="8" fillId="0" borderId="52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 quotePrefix="1">
      <alignment horizontal="center" vertical="center" wrapText="1"/>
    </xf>
    <xf numFmtId="164" fontId="0" fillId="0" borderId="11" xfId="0" applyNumberFormat="1" applyBorder="1" applyAlignment="1">
      <alignment/>
    </xf>
    <xf numFmtId="10" fontId="59" fillId="0" borderId="64" xfId="59" applyNumberFormat="1" applyFont="1" applyBorder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44" fontId="13" fillId="16" borderId="57" xfId="44" applyFont="1" applyFill="1" applyBorder="1" applyAlignment="1">
      <alignment/>
    </xf>
    <xf numFmtId="44" fontId="13" fillId="16" borderId="56" xfId="44" applyFont="1" applyFill="1" applyBorder="1" applyAlignment="1">
      <alignment/>
    </xf>
    <xf numFmtId="44" fontId="13" fillId="16" borderId="63" xfId="44" applyFont="1" applyFill="1" applyBorder="1" applyAlignment="1">
      <alignment/>
    </xf>
    <xf numFmtId="0" fontId="13" fillId="16" borderId="0" xfId="0" applyFont="1" applyFill="1" applyAlignment="1" quotePrefix="1">
      <alignment horizontal="left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44" fontId="13" fillId="9" borderId="63" xfId="44" applyFont="1" applyFill="1" applyBorder="1" applyAlignment="1">
      <alignment/>
    </xf>
    <xf numFmtId="0" fontId="13" fillId="9" borderId="0" xfId="0" applyFont="1" applyFill="1" applyAlignment="1" quotePrefix="1">
      <alignment horizontal="left"/>
    </xf>
    <xf numFmtId="44" fontId="13" fillId="0" borderId="56" xfId="44" applyFont="1" applyFill="1" applyBorder="1" applyAlignment="1">
      <alignment horizontal="right"/>
    </xf>
    <xf numFmtId="44" fontId="13" fillId="0" borderId="63" xfId="44" applyFont="1" applyFill="1" applyBorder="1" applyAlignment="1">
      <alignment horizontal="right"/>
    </xf>
    <xf numFmtId="0" fontId="13" fillId="32" borderId="0" xfId="0" applyFont="1" applyFill="1" applyAlignment="1" quotePrefix="1">
      <alignment horizontal="left"/>
    </xf>
    <xf numFmtId="44" fontId="13" fillId="32" borderId="57" xfId="44" applyFont="1" applyFill="1" applyBorder="1" applyAlignment="1">
      <alignment/>
    </xf>
    <xf numFmtId="44" fontId="13" fillId="32" borderId="56" xfId="44" applyFont="1" applyFill="1" applyBorder="1" applyAlignment="1">
      <alignment/>
    </xf>
    <xf numFmtId="44" fontId="13" fillId="32" borderId="63" xfId="44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60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65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6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7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T%20OKTCo%20FR%20CY2012%20NITS%20True-Up%20201305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36">
        <d v="2012-01-01T00:00:00.000"/>
        <d v="2012-02-01T00:00:00.000"/>
        <d v="2012-03-01T00:00:00.000"/>
        <d v="2012-04-01T00:00:00.000"/>
        <d v="2012-05-01T00:00:00.000"/>
        <d v="2012-06-01T00:00:00.000"/>
        <d v="2012-07-01T00:00:00.000"/>
        <d v="2012-08-01T00:00:00.000"/>
        <d v="2012-09-01T00:00:00.000"/>
        <d v="2012-10-01T00:00:00.000"/>
        <d v="2012-11-01T00:00:00.000"/>
        <d v="2012-12-01T00:00:00.000"/>
        <d v="2010-07-01T00:00:00.000"/>
        <d v="2011-07-01T00:00:00.000"/>
        <d v="2010-06-01T00:00:00.000"/>
        <d v="2011-06-01T00:00:00.000"/>
        <d v="2010-05-01T00:00:00.000"/>
        <d v="2011-05-01T00:00:00.000"/>
        <d v="2010-04-01T00:00:00.000"/>
        <d v="2011-04-01T00:00:00.000"/>
        <d v="2010-03-01T00:00:00.000"/>
        <d v="2011-03-01T00:00:00.000"/>
        <d v="2010-02-01T00:00:00.000"/>
        <d v="2010-12-01T00:00:00.000"/>
        <d v="2011-02-01T00:00:00.000"/>
        <d v="2011-12-01T00:00:00.000"/>
        <d v="2010-01-01T00:00:00.000"/>
        <d v="2010-11-01T00:00:00.000"/>
        <d v="2011-01-01T00:00:00.000"/>
        <d v="2011-11-01T00:00:00.000"/>
        <d v="2010-10-01T00:00:00.000"/>
        <d v="2011-10-01T00:00:00.000"/>
        <d v="2010-09-01T00:00:00.000"/>
        <d v="2011-09-01T00:00:00.000"/>
        <d v="2010-08-01T00:00:00.000"/>
        <d v="2011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37">
        <item m="1" x="26"/>
        <item m="1" x="22"/>
        <item m="1" x="20"/>
        <item m="1" x="18"/>
        <item m="1" x="16"/>
        <item m="1" x="14"/>
        <item m="1" x="12"/>
        <item m="1" x="34"/>
        <item m="1" x="32"/>
        <item m="1" x="30"/>
        <item m="1" x="27"/>
        <item m="1" x="23"/>
        <item m="1" x="28"/>
        <item m="1" x="24"/>
        <item m="1" x="21"/>
        <item m="1" x="19"/>
        <item m="1" x="17"/>
        <item m="1" x="15"/>
        <item m="1" x="13"/>
        <item m="1" x="35"/>
        <item m="1" x="33"/>
        <item m="1" x="31"/>
        <item m="1" x="29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220</v>
      </c>
    </row>
    <row r="3" spans="1:2" ht="12.75">
      <c r="A3">
        <v>1</v>
      </c>
      <c r="B3" s="25" t="s">
        <v>221</v>
      </c>
    </row>
    <row r="4" spans="1:2" ht="12.75">
      <c r="A4">
        <v>2</v>
      </c>
      <c r="B4" s="25" t="s">
        <v>231</v>
      </c>
    </row>
    <row r="5" spans="1:2" ht="12.75">
      <c r="A5">
        <v>3</v>
      </c>
      <c r="B5" s="25" t="s">
        <v>232</v>
      </c>
    </row>
    <row r="6" spans="1:2" ht="12.75">
      <c r="A6">
        <v>4</v>
      </c>
      <c r="B6" s="25" t="s">
        <v>222</v>
      </c>
    </row>
    <row r="7" spans="1:2" ht="12.75">
      <c r="A7">
        <v>5</v>
      </c>
      <c r="B7" s="25" t="s">
        <v>223</v>
      </c>
    </row>
    <row r="8" spans="1:2" ht="12.75">
      <c r="A8">
        <v>6</v>
      </c>
      <c r="B8" s="25" t="s">
        <v>224</v>
      </c>
    </row>
    <row r="9" spans="1:2" ht="12.75">
      <c r="A9">
        <v>7</v>
      </c>
      <c r="B9" s="2" t="s">
        <v>225</v>
      </c>
    </row>
    <row r="10" spans="1:2" ht="12.75">
      <c r="A10">
        <v>8</v>
      </c>
      <c r="B10" s="25" t="s">
        <v>226</v>
      </c>
    </row>
    <row r="11" ht="12.75">
      <c r="B11" s="25" t="s">
        <v>227</v>
      </c>
    </row>
    <row r="12" ht="12.75">
      <c r="B12" s="2" t="s">
        <v>228</v>
      </c>
    </row>
    <row r="13" ht="12.75">
      <c r="B13" s="2" t="s">
        <v>229</v>
      </c>
    </row>
    <row r="14" spans="1:2" ht="12.75">
      <c r="A14">
        <v>9</v>
      </c>
      <c r="B14" s="25" t="s">
        <v>230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="120" zoomScaleNormal="120" zoomScalePageLayoutView="0" workbookViewId="0" topLeftCell="A1">
      <pane ySplit="4" topLeftCell="A23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.75">
      <c r="B2" s="226" t="s">
        <v>174</v>
      </c>
    </row>
    <row r="3" ht="13.5" thickBot="1">
      <c r="B3" s="225" t="s">
        <v>218</v>
      </c>
    </row>
    <row r="4" spans="2:6" ht="39" thickBot="1">
      <c r="B4" s="227" t="s">
        <v>172</v>
      </c>
      <c r="C4" s="228" t="s">
        <v>175</v>
      </c>
      <c r="D4" s="228" t="s">
        <v>183</v>
      </c>
      <c r="E4" s="229" t="s">
        <v>173</v>
      </c>
      <c r="F4" s="230" t="s">
        <v>176</v>
      </c>
    </row>
    <row r="5" spans="2:5" ht="12.75">
      <c r="B5" s="288">
        <v>40179</v>
      </c>
      <c r="C5" s="289">
        <v>0</v>
      </c>
      <c r="D5" s="219"/>
      <c r="E5" s="290">
        <v>0</v>
      </c>
    </row>
    <row r="6" spans="2:5" ht="12.75">
      <c r="B6" s="288">
        <v>40210</v>
      </c>
      <c r="C6" s="289">
        <v>0</v>
      </c>
      <c r="D6" s="219"/>
      <c r="E6" s="290">
        <v>0</v>
      </c>
    </row>
    <row r="7" spans="2:5" ht="12.75">
      <c r="B7" s="288">
        <v>40238</v>
      </c>
      <c r="C7" s="289">
        <v>0</v>
      </c>
      <c r="D7" s="219"/>
      <c r="E7" s="290">
        <v>0</v>
      </c>
    </row>
    <row r="8" spans="2:5" ht="12.75">
      <c r="B8" s="288">
        <v>40269</v>
      </c>
      <c r="C8" s="289">
        <v>0</v>
      </c>
      <c r="D8" s="219"/>
      <c r="E8" s="290">
        <v>0</v>
      </c>
    </row>
    <row r="9" spans="1:6" ht="12.75">
      <c r="A9" s="241"/>
      <c r="B9" s="288">
        <v>40299</v>
      </c>
      <c r="C9" s="289">
        <v>0</v>
      </c>
      <c r="D9" s="219"/>
      <c r="E9" s="290">
        <v>0</v>
      </c>
      <c r="F9" s="218"/>
    </row>
    <row r="10" spans="2:6" ht="13.5" thickBot="1">
      <c r="B10" s="288">
        <v>40330</v>
      </c>
      <c r="C10" s="289">
        <v>0</v>
      </c>
      <c r="D10" s="219"/>
      <c r="E10" s="290">
        <v>0</v>
      </c>
      <c r="F10" s="218"/>
    </row>
    <row r="11" spans="2:6" ht="12.75">
      <c r="B11" s="224">
        <v>40360</v>
      </c>
      <c r="C11" s="234">
        <v>0.07</v>
      </c>
      <c r="D11" s="219"/>
      <c r="E11" s="270">
        <v>1.16</v>
      </c>
      <c r="F11" s="296" t="s">
        <v>216</v>
      </c>
    </row>
    <row r="12" spans="2:6" ht="12.75">
      <c r="B12" s="224">
        <v>40391</v>
      </c>
      <c r="C12" s="233">
        <v>0.07</v>
      </c>
      <c r="D12" s="219"/>
      <c r="E12" s="270">
        <v>1.16</v>
      </c>
      <c r="F12" s="218"/>
    </row>
    <row r="13" spans="2:6" ht="12.75">
      <c r="B13" s="224">
        <v>40422</v>
      </c>
      <c r="C13" s="233">
        <v>0.07</v>
      </c>
      <c r="D13" s="219"/>
      <c r="E13" s="270">
        <v>1.16</v>
      </c>
      <c r="F13" s="218"/>
    </row>
    <row r="14" spans="2:6" ht="12.75">
      <c r="B14" s="224">
        <v>40452</v>
      </c>
      <c r="C14" s="233">
        <v>0.07</v>
      </c>
      <c r="D14" s="219"/>
      <c r="E14" s="270">
        <v>1.16</v>
      </c>
      <c r="F14" s="218"/>
    </row>
    <row r="15" spans="2:6" ht="12.75">
      <c r="B15" s="224">
        <v>40483</v>
      </c>
      <c r="C15" s="233">
        <v>0.07</v>
      </c>
      <c r="D15" s="219"/>
      <c r="E15" s="270">
        <v>1.16</v>
      </c>
      <c r="F15" s="218"/>
    </row>
    <row r="16" spans="2:6" ht="13.5" thickBot="1">
      <c r="B16" s="302">
        <v>40513</v>
      </c>
      <c r="C16" s="233">
        <v>0.07</v>
      </c>
      <c r="D16" s="219"/>
      <c r="E16" s="271">
        <v>1.16</v>
      </c>
      <c r="F16" s="218"/>
    </row>
    <row r="17" spans="2:6" ht="12.75">
      <c r="B17" s="224">
        <v>40544</v>
      </c>
      <c r="C17" s="233">
        <v>0.07</v>
      </c>
      <c r="D17" s="219"/>
      <c r="E17" s="300">
        <v>1.04</v>
      </c>
      <c r="F17" s="218"/>
    </row>
    <row r="18" spans="2:6" ht="12.75">
      <c r="B18" s="224">
        <v>40575</v>
      </c>
      <c r="C18" s="233">
        <v>0.07</v>
      </c>
      <c r="D18" s="219"/>
      <c r="E18" s="299">
        <v>1.04</v>
      </c>
      <c r="F18" s="218"/>
    </row>
    <row r="19" spans="2:6" ht="12.75">
      <c r="B19" s="224">
        <v>40603</v>
      </c>
      <c r="C19" s="233">
        <v>0.07</v>
      </c>
      <c r="D19" s="219"/>
      <c r="E19" s="299">
        <v>1.04</v>
      </c>
      <c r="F19" s="218"/>
    </row>
    <row r="20" spans="2:6" ht="12.75">
      <c r="B20" s="224">
        <v>40634</v>
      </c>
      <c r="C20" s="233">
        <v>0.07</v>
      </c>
      <c r="D20" s="219"/>
      <c r="E20" s="299">
        <v>1.04</v>
      </c>
      <c r="F20" s="218"/>
    </row>
    <row r="21" spans="2:6" ht="12.75">
      <c r="B21" s="221">
        <v>40664</v>
      </c>
      <c r="C21" s="233">
        <v>0.07</v>
      </c>
      <c r="D21" s="219"/>
      <c r="E21" s="299">
        <v>1.04</v>
      </c>
      <c r="F21" s="267" t="s">
        <v>217</v>
      </c>
    </row>
    <row r="22" spans="2:6" ht="13.5" thickBot="1">
      <c r="B22" s="221">
        <v>40695</v>
      </c>
      <c r="C22" s="303">
        <v>0.07</v>
      </c>
      <c r="D22" s="220"/>
      <c r="E22" s="299">
        <v>1.04</v>
      </c>
      <c r="F22" s="291" t="s">
        <v>219</v>
      </c>
    </row>
    <row r="23" spans="2:6" ht="12.75">
      <c r="B23" s="221">
        <v>40725</v>
      </c>
      <c r="C23" s="279">
        <v>0.07</v>
      </c>
      <c r="D23" s="279">
        <v>1.45</v>
      </c>
      <c r="E23" s="299">
        <v>1.04</v>
      </c>
      <c r="F23" s="297" t="s">
        <v>245</v>
      </c>
    </row>
    <row r="24" spans="2:6" ht="12.75">
      <c r="B24" s="221">
        <v>40756</v>
      </c>
      <c r="C24" s="279">
        <v>0.07</v>
      </c>
      <c r="D24" s="279">
        <v>1.45</v>
      </c>
      <c r="E24" s="299">
        <v>1.04</v>
      </c>
      <c r="F24" s="321" t="s">
        <v>244</v>
      </c>
    </row>
    <row r="25" spans="2:6" ht="12.75">
      <c r="B25" s="221">
        <v>40787</v>
      </c>
      <c r="C25" s="279">
        <v>0.07</v>
      </c>
      <c r="D25" s="279">
        <v>1.45</v>
      </c>
      <c r="E25" s="299">
        <v>1.04</v>
      </c>
      <c r="F25" s="298" t="s">
        <v>243</v>
      </c>
    </row>
    <row r="26" spans="2:6" ht="12.75">
      <c r="B26" s="221">
        <v>40817</v>
      </c>
      <c r="C26" s="279">
        <v>0.07</v>
      </c>
      <c r="D26" s="279">
        <v>1.45</v>
      </c>
      <c r="E26" s="299">
        <v>1.04</v>
      </c>
      <c r="F26" s="298" t="s">
        <v>242</v>
      </c>
    </row>
    <row r="27" spans="2:6" ht="12.75">
      <c r="B27" s="221">
        <v>40848</v>
      </c>
      <c r="C27" s="279">
        <v>1.45</v>
      </c>
      <c r="D27" s="220"/>
      <c r="E27" s="299">
        <v>1.04</v>
      </c>
      <c r="F27" s="218"/>
    </row>
    <row r="28" spans="2:5" ht="13.5" thickBot="1">
      <c r="B28" s="222">
        <v>40878</v>
      </c>
      <c r="C28" s="279">
        <v>1.45</v>
      </c>
      <c r="D28" s="223"/>
      <c r="E28" s="301">
        <v>1.04</v>
      </c>
    </row>
    <row r="29" spans="2:5" ht="12.75">
      <c r="B29" s="221">
        <v>40909</v>
      </c>
      <c r="C29" s="279">
        <v>1.45</v>
      </c>
      <c r="E29" s="311">
        <v>1.93</v>
      </c>
    </row>
    <row r="30" spans="2:6" ht="12.75">
      <c r="B30" s="221">
        <v>40940</v>
      </c>
      <c r="C30" s="279">
        <v>1.45</v>
      </c>
      <c r="E30" s="312">
        <f>E29</f>
        <v>1.93</v>
      </c>
      <c r="F30" s="218"/>
    </row>
    <row r="31" spans="2:6" ht="12.75">
      <c r="B31" s="221">
        <v>40969</v>
      </c>
      <c r="C31" s="279">
        <v>1.45</v>
      </c>
      <c r="E31" s="312">
        <f aca="true" t="shared" si="0" ref="E31:E40">E30</f>
        <v>1.93</v>
      </c>
      <c r="F31" s="298"/>
    </row>
    <row r="32" spans="2:6" ht="12.75">
      <c r="B32" s="221">
        <v>41000</v>
      </c>
      <c r="C32" s="279">
        <v>1.45</v>
      </c>
      <c r="E32" s="312">
        <f t="shared" si="0"/>
        <v>1.93</v>
      </c>
      <c r="F32" s="298"/>
    </row>
    <row r="33" spans="2:6" ht="12.75">
      <c r="B33" s="221">
        <v>41030</v>
      </c>
      <c r="C33" s="279">
        <v>1.45</v>
      </c>
      <c r="E33" s="312">
        <f t="shared" si="0"/>
        <v>1.93</v>
      </c>
      <c r="F33" s="298"/>
    </row>
    <row r="34" spans="2:6" ht="13.5" thickBot="1">
      <c r="B34" s="221">
        <v>41061</v>
      </c>
      <c r="C34" s="280">
        <v>1.45</v>
      </c>
      <c r="E34" s="312">
        <f t="shared" si="0"/>
        <v>1.93</v>
      </c>
      <c r="F34" s="298"/>
    </row>
    <row r="35" spans="2:6" ht="12.75">
      <c r="B35" s="221">
        <v>41091</v>
      </c>
      <c r="C35" s="322">
        <v>1.14</v>
      </c>
      <c r="E35" s="312">
        <f t="shared" si="0"/>
        <v>1.93</v>
      </c>
      <c r="F35" s="298"/>
    </row>
    <row r="36" spans="2:6" ht="12.75">
      <c r="B36" s="221">
        <v>41122</v>
      </c>
      <c r="C36" s="323">
        <v>1.14</v>
      </c>
      <c r="E36" s="312">
        <f t="shared" si="0"/>
        <v>1.93</v>
      </c>
      <c r="F36" s="298"/>
    </row>
    <row r="37" spans="2:6" ht="12.75">
      <c r="B37" s="221">
        <v>41153</v>
      </c>
      <c r="C37" s="323">
        <v>1.14</v>
      </c>
      <c r="E37" s="312">
        <f t="shared" si="0"/>
        <v>1.93</v>
      </c>
      <c r="F37" s="298"/>
    </row>
    <row r="38" spans="2:6" ht="12.75">
      <c r="B38" s="221">
        <v>41183</v>
      </c>
      <c r="C38" s="323">
        <v>1.14</v>
      </c>
      <c r="E38" s="312">
        <f t="shared" si="0"/>
        <v>1.93</v>
      </c>
      <c r="F38" s="298"/>
    </row>
    <row r="39" spans="2:6" ht="12.75">
      <c r="B39" s="221">
        <v>41214</v>
      </c>
      <c r="C39" s="323">
        <v>1.14</v>
      </c>
      <c r="E39" s="312">
        <f t="shared" si="0"/>
        <v>1.93</v>
      </c>
      <c r="F39" s="318" t="s">
        <v>250</v>
      </c>
    </row>
    <row r="40" spans="2:6" ht="13.5" thickBot="1">
      <c r="B40" s="222">
        <v>41244</v>
      </c>
      <c r="C40" s="323">
        <v>1.14</v>
      </c>
      <c r="E40" s="313">
        <f t="shared" si="0"/>
        <v>1.93</v>
      </c>
      <c r="F40" s="314" t="s">
        <v>251</v>
      </c>
    </row>
    <row r="41" spans="2:6" ht="12.75">
      <c r="B41" s="221">
        <v>41275</v>
      </c>
      <c r="C41" s="323">
        <v>1.14</v>
      </c>
      <c r="E41" s="319" t="s">
        <v>246</v>
      </c>
      <c r="F41" s="298"/>
    </row>
    <row r="42" spans="2:6" ht="12.75">
      <c r="B42" s="221">
        <v>41306</v>
      </c>
      <c r="C42" s="323">
        <v>1.14</v>
      </c>
      <c r="E42" s="319" t="str">
        <f>E41</f>
        <v>TBD 5/2014</v>
      </c>
      <c r="F42" s="298"/>
    </row>
    <row r="43" spans="2:6" ht="12.75">
      <c r="B43" s="221">
        <v>41334</v>
      </c>
      <c r="C43" s="323">
        <v>1.14</v>
      </c>
      <c r="E43" s="319" t="str">
        <f aca="true" t="shared" si="1" ref="E43:E52">E42</f>
        <v>TBD 5/2014</v>
      </c>
      <c r="F43" s="298"/>
    </row>
    <row r="44" spans="2:6" ht="12.75">
      <c r="B44" s="221">
        <v>41365</v>
      </c>
      <c r="C44" s="323">
        <v>1.14</v>
      </c>
      <c r="E44" s="319" t="str">
        <f t="shared" si="1"/>
        <v>TBD 5/2014</v>
      </c>
      <c r="F44" s="298"/>
    </row>
    <row r="45" spans="2:6" ht="12.75">
      <c r="B45" s="221">
        <v>41395</v>
      </c>
      <c r="C45" s="323">
        <v>1.14</v>
      </c>
      <c r="E45" s="319" t="str">
        <f t="shared" si="1"/>
        <v>TBD 5/2014</v>
      </c>
      <c r="F45" s="298"/>
    </row>
    <row r="46" spans="2:6" ht="13.5" thickBot="1">
      <c r="B46" s="221">
        <v>41426</v>
      </c>
      <c r="C46" s="324">
        <v>1.14</v>
      </c>
      <c r="E46" s="319" t="str">
        <f t="shared" si="1"/>
        <v>TBD 5/2014</v>
      </c>
      <c r="F46" s="298"/>
    </row>
    <row r="47" spans="2:6" ht="12.75">
      <c r="B47" s="221">
        <v>41456</v>
      </c>
      <c r="C47" s="315">
        <v>1.93</v>
      </c>
      <c r="E47" s="319" t="str">
        <f t="shared" si="1"/>
        <v>TBD 5/2014</v>
      </c>
      <c r="F47" s="298"/>
    </row>
    <row r="48" spans="2:5" ht="12.75">
      <c r="B48" s="221">
        <v>41487</v>
      </c>
      <c r="C48" s="316">
        <f>C47</f>
        <v>1.93</v>
      </c>
      <c r="E48" s="319" t="str">
        <f t="shared" si="1"/>
        <v>TBD 5/2014</v>
      </c>
    </row>
    <row r="49" spans="2:5" ht="12.75">
      <c r="B49" s="221">
        <v>41518</v>
      </c>
      <c r="C49" s="316">
        <f aca="true" t="shared" si="2" ref="C49:C58">C48</f>
        <v>1.93</v>
      </c>
      <c r="E49" s="319" t="str">
        <f t="shared" si="1"/>
        <v>TBD 5/2014</v>
      </c>
    </row>
    <row r="50" spans="2:5" ht="12.75">
      <c r="B50" s="221">
        <v>41548</v>
      </c>
      <c r="C50" s="316">
        <f t="shared" si="2"/>
        <v>1.93</v>
      </c>
      <c r="E50" s="319" t="str">
        <f t="shared" si="1"/>
        <v>TBD 5/2014</v>
      </c>
    </row>
    <row r="51" spans="2:5" ht="12.75">
      <c r="B51" s="221">
        <v>41579</v>
      </c>
      <c r="C51" s="316">
        <f t="shared" si="2"/>
        <v>1.93</v>
      </c>
      <c r="E51" s="319" t="str">
        <f t="shared" si="1"/>
        <v>TBD 5/2014</v>
      </c>
    </row>
    <row r="52" spans="2:5" ht="13.5" thickBot="1">
      <c r="B52" s="222">
        <v>41609</v>
      </c>
      <c r="C52" s="316">
        <f t="shared" si="2"/>
        <v>1.93</v>
      </c>
      <c r="E52" s="320" t="str">
        <f t="shared" si="1"/>
        <v>TBD 5/2014</v>
      </c>
    </row>
    <row r="53" spans="2:3" ht="12.75">
      <c r="B53" s="221">
        <v>41640</v>
      </c>
      <c r="C53" s="316">
        <f t="shared" si="2"/>
        <v>1.93</v>
      </c>
    </row>
    <row r="54" spans="2:3" ht="12.75">
      <c r="B54" s="221">
        <v>41671</v>
      </c>
      <c r="C54" s="316">
        <f t="shared" si="2"/>
        <v>1.93</v>
      </c>
    </row>
    <row r="55" spans="2:3" ht="12.75">
      <c r="B55" s="221">
        <v>41699</v>
      </c>
      <c r="C55" s="316">
        <f t="shared" si="2"/>
        <v>1.93</v>
      </c>
    </row>
    <row r="56" spans="2:3" ht="12.75">
      <c r="B56" s="221">
        <v>41730</v>
      </c>
      <c r="C56" s="316">
        <f t="shared" si="2"/>
        <v>1.93</v>
      </c>
    </row>
    <row r="57" spans="2:3" ht="12.75">
      <c r="B57" s="221">
        <v>41760</v>
      </c>
      <c r="C57" s="316">
        <f t="shared" si="2"/>
        <v>1.93</v>
      </c>
    </row>
    <row r="58" spans="2:3" ht="13.5" thickBot="1">
      <c r="B58" s="221">
        <v>41791</v>
      </c>
      <c r="C58" s="317">
        <f t="shared" si="2"/>
        <v>1.93</v>
      </c>
    </row>
    <row r="59" ht="12.75">
      <c r="B59" s="221">
        <v>41821</v>
      </c>
    </row>
    <row r="60" ht="12.75">
      <c r="B60" s="221">
        <v>41852</v>
      </c>
    </row>
    <row r="61" ht="12.75">
      <c r="B61" s="221">
        <v>41883</v>
      </c>
    </row>
    <row r="62" ht="12.75">
      <c r="B62" s="221">
        <v>41913</v>
      </c>
    </row>
    <row r="63" ht="12.75">
      <c r="B63" s="221">
        <v>41944</v>
      </c>
    </row>
    <row r="64" ht="13.5" thickBot="1">
      <c r="B64" s="222">
        <v>41974</v>
      </c>
    </row>
    <row r="65" ht="12.75">
      <c r="B65" s="221">
        <v>42005</v>
      </c>
    </row>
    <row r="66" ht="12.75">
      <c r="B66" s="221">
        <v>42036</v>
      </c>
    </row>
    <row r="67" ht="12.75">
      <c r="B67" s="221">
        <v>42064</v>
      </c>
    </row>
    <row r="68" ht="12.75">
      <c r="B68" s="221">
        <v>42095</v>
      </c>
    </row>
    <row r="69" ht="12.75">
      <c r="B69" s="221">
        <v>42125</v>
      </c>
    </row>
    <row r="70" ht="12.75">
      <c r="B70" s="221">
        <v>42156</v>
      </c>
    </row>
    <row r="71" ht="12.75">
      <c r="B71" s="221">
        <v>42186</v>
      </c>
    </row>
    <row r="72" ht="12.75">
      <c r="B72" s="221">
        <v>42217</v>
      </c>
    </row>
    <row r="73" ht="12.75">
      <c r="B73" s="221">
        <v>42248</v>
      </c>
    </row>
    <row r="74" ht="12.75">
      <c r="B74" s="221">
        <v>42278</v>
      </c>
    </row>
    <row r="75" ht="12.75">
      <c r="B75" s="221">
        <v>42309</v>
      </c>
    </row>
    <row r="76" ht="13.5" thickBot="1">
      <c r="B76" s="222">
        <v>42339</v>
      </c>
    </row>
    <row r="77" ht="12.75">
      <c r="B77" s="221">
        <v>42370</v>
      </c>
    </row>
    <row r="78" ht="12.75">
      <c r="B78" s="221">
        <v>42401</v>
      </c>
    </row>
    <row r="79" ht="12.75">
      <c r="B79" s="221">
        <v>42430</v>
      </c>
    </row>
    <row r="80" ht="12.75">
      <c r="B80" s="221">
        <v>42461</v>
      </c>
    </row>
    <row r="81" ht="12.75">
      <c r="B81" s="221">
        <v>42491</v>
      </c>
    </row>
    <row r="82" ht="12.75">
      <c r="B82" s="221">
        <v>42522</v>
      </c>
    </row>
    <row r="83" ht="12.75">
      <c r="B83" s="221">
        <v>42552</v>
      </c>
    </row>
    <row r="84" ht="12.75">
      <c r="B84" s="221">
        <v>42583</v>
      </c>
    </row>
    <row r="85" ht="12.75">
      <c r="B85" s="221">
        <v>42614</v>
      </c>
    </row>
    <row r="86" ht="12.75">
      <c r="B86" s="221">
        <v>42644</v>
      </c>
    </row>
    <row r="87" ht="12.75">
      <c r="B87" s="221">
        <v>42675</v>
      </c>
    </row>
    <row r="88" ht="13.5" thickBot="1">
      <c r="B88" s="222">
        <v>42705</v>
      </c>
    </row>
    <row r="89" ht="12.75">
      <c r="B89" s="221">
        <v>42736</v>
      </c>
    </row>
    <row r="90" ht="12.75">
      <c r="B90" s="221">
        <v>42767</v>
      </c>
    </row>
    <row r="91" ht="12.75">
      <c r="B91" s="221">
        <v>42795</v>
      </c>
    </row>
    <row r="92" ht="12.75">
      <c r="B92" s="221">
        <v>42826</v>
      </c>
    </row>
    <row r="93" ht="12.75">
      <c r="B93" s="221">
        <v>42856</v>
      </c>
    </row>
    <row r="94" ht="12.75">
      <c r="B94" s="221">
        <v>42887</v>
      </c>
    </row>
    <row r="95" ht="12.75">
      <c r="B95" s="221">
        <v>42917</v>
      </c>
    </row>
    <row r="96" ht="12.75">
      <c r="B96" s="221">
        <v>42948</v>
      </c>
    </row>
    <row r="97" ht="12.75">
      <c r="B97" s="221">
        <v>42979</v>
      </c>
    </row>
    <row r="98" ht="12.75">
      <c r="B98" s="221">
        <v>43009</v>
      </c>
    </row>
    <row r="99" ht="12.75">
      <c r="B99" s="221">
        <v>43040</v>
      </c>
    </row>
    <row r="100" ht="13.5" thickBot="1">
      <c r="B100" s="222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C1" sqref="C1:H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5.14062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8" ht="12.75">
      <c r="C1" s="334" t="str">
        <f>+Transactions!B1</f>
        <v>AEPTCo Formula Rate -- FERC Docket ER10-355</v>
      </c>
      <c r="D1" s="334"/>
      <c r="E1" s="334"/>
      <c r="F1" s="334"/>
      <c r="G1" s="334"/>
      <c r="H1" s="334"/>
    </row>
    <row r="2" spans="3:8" ht="12.75">
      <c r="C2" s="334" t="s">
        <v>162</v>
      </c>
      <c r="D2" s="334"/>
      <c r="E2" s="334"/>
      <c r="F2" s="334"/>
      <c r="G2" s="334"/>
      <c r="H2" s="334"/>
    </row>
    <row r="3" spans="3:8" ht="12.75">
      <c r="C3" s="334" t="str">
        <f>"for period 01/01/"&amp;F8&amp;" - 12/31/"&amp;F8</f>
        <v>for period 01/01/2012 - 12/31/2012</v>
      </c>
      <c r="D3" s="334"/>
      <c r="E3" s="334"/>
      <c r="F3" s="334"/>
      <c r="G3" s="334"/>
      <c r="H3" s="334"/>
    </row>
    <row r="4" ht="12.75">
      <c r="C4" s="116"/>
    </row>
    <row r="5" ht="12.75">
      <c r="C5" s="116"/>
    </row>
    <row r="6" spans="3:8" ht="12.75">
      <c r="C6" s="286" t="str">
        <f>Transactions!B11</f>
        <v>    &lt;&lt; SOUTHWESTERN TRANSMISSION COMPANY &gt;&gt;</v>
      </c>
      <c r="D6" s="287"/>
      <c r="E6" s="287"/>
      <c r="F6" s="287"/>
      <c r="G6" s="287"/>
      <c r="H6" s="287"/>
    </row>
    <row r="7" ht="12.75">
      <c r="C7" s="5"/>
    </row>
    <row r="8" ht="18.75" thickBot="1">
      <c r="F8" s="212">
        <f>Transactions!$N$1</f>
        <v>2012</v>
      </c>
    </row>
    <row r="9" spans="5:11" ht="20.25" customHeight="1">
      <c r="E9" s="242" t="s">
        <v>184</v>
      </c>
      <c r="F9" s="202"/>
      <c r="G9" s="211" t="s">
        <v>167</v>
      </c>
      <c r="K9" s="48"/>
    </row>
    <row r="10" spans="2:7" ht="42" customHeight="1" thickBot="1">
      <c r="B10" s="187"/>
      <c r="E10" s="282" t="str">
        <f>"(per "&amp;$F8-1&amp;" Update of May "&amp;$F8-1&amp;")"</f>
        <v>(per 2011 Update of May 2011)</v>
      </c>
      <c r="F10" s="295" t="str">
        <f>"(per "&amp;F8+1&amp;" Update of May "&amp;F8+1&amp;")"</f>
        <v>(per 2013 Update of May 2013)</v>
      </c>
      <c r="G10" s="283" t="str">
        <f>"(per "&amp;$F8&amp;" Update of May "&amp;F8&amp;")"</f>
        <v>(per 2012 Update of May 2012)</v>
      </c>
    </row>
    <row r="11" spans="2:7" ht="21.75" customHeight="1">
      <c r="B11" s="189"/>
      <c r="C11" s="208" t="s">
        <v>165</v>
      </c>
      <c r="D11" s="207" t="s">
        <v>163</v>
      </c>
      <c r="E11" s="305">
        <f>Transactions!K2</f>
        <v>139250</v>
      </c>
      <c r="F11" s="196"/>
      <c r="G11" s="306">
        <f>+Transactions!K7</f>
        <v>113636</v>
      </c>
    </row>
    <row r="12" spans="2:7" ht="21.75" customHeight="1">
      <c r="B12" s="189"/>
      <c r="C12" s="197"/>
      <c r="D12" s="214" t="s">
        <v>171</v>
      </c>
      <c r="E12" s="203"/>
      <c r="F12" s="195">
        <f>+Transactions!J7</f>
        <v>189124.7910100688</v>
      </c>
      <c r="G12" s="204"/>
    </row>
    <row r="13" spans="2:7" ht="21.75" customHeight="1">
      <c r="B13" s="188"/>
      <c r="C13" s="209" t="s">
        <v>166</v>
      </c>
      <c r="D13" s="206" t="s">
        <v>164</v>
      </c>
      <c r="E13" s="304">
        <f>Transactions!K3</f>
        <v>1.45</v>
      </c>
      <c r="F13" s="192"/>
      <c r="G13" s="307">
        <f>Transactions!K8</f>
        <v>1.14</v>
      </c>
    </row>
    <row r="14" spans="2:7" ht="21.75" customHeight="1" thickBot="1">
      <c r="B14" s="187"/>
      <c r="C14" s="198"/>
      <c r="D14" s="213" t="s">
        <v>170</v>
      </c>
      <c r="E14" s="199"/>
      <c r="F14" s="281">
        <f>+Transactions!J8</f>
        <v>1.93</v>
      </c>
      <c r="G14" s="200"/>
    </row>
    <row r="15" spans="2:5" ht="12.75">
      <c r="B15" s="189"/>
      <c r="E15" s="159"/>
    </row>
    <row r="16" spans="2:18" ht="12.75">
      <c r="B16" s="188"/>
      <c r="C16" s="188"/>
      <c r="D16" s="205"/>
      <c r="E16" s="188"/>
      <c r="F16" s="190"/>
      <c r="G16" s="191"/>
      <c r="J16" s="16"/>
      <c r="K16" s="159"/>
      <c r="M16" s="13"/>
      <c r="N16" s="179"/>
      <c r="O16" s="179"/>
      <c r="P16" s="179"/>
      <c r="Q16" s="179"/>
      <c r="R16" s="179"/>
    </row>
    <row r="17" spans="3:18" ht="12.75">
      <c r="C17" s="5"/>
      <c r="M17" s="30"/>
      <c r="N17" s="179"/>
      <c r="O17" s="179"/>
      <c r="P17" s="179"/>
      <c r="Q17" s="179"/>
      <c r="R17" s="179"/>
    </row>
    <row r="18" spans="3:18" ht="12.75">
      <c r="C18" s="13"/>
      <c r="D18" s="13"/>
      <c r="E18" s="13"/>
      <c r="F18" s="13"/>
      <c r="G18" s="13"/>
      <c r="H18" s="13"/>
      <c r="M18" s="13"/>
      <c r="N18" s="179"/>
      <c r="O18" s="179"/>
      <c r="P18" s="179"/>
      <c r="Q18" s="179"/>
      <c r="R18" s="179"/>
    </row>
    <row r="19" spans="3:18" ht="21" customHeight="1" thickBot="1">
      <c r="C19" s="193" t="s">
        <v>157</v>
      </c>
      <c r="D19" s="193" t="s">
        <v>158</v>
      </c>
      <c r="E19" s="194" t="s">
        <v>159</v>
      </c>
      <c r="F19" s="194" t="s">
        <v>160</v>
      </c>
      <c r="G19" s="193" t="s">
        <v>161</v>
      </c>
      <c r="H19" s="194" t="s">
        <v>169</v>
      </c>
      <c r="M19" s="13"/>
      <c r="N19" s="179"/>
      <c r="O19" s="179"/>
      <c r="P19" s="179"/>
      <c r="Q19" s="179"/>
      <c r="R19" s="179"/>
    </row>
    <row r="20" spans="3:18" ht="59.25" customHeight="1">
      <c r="C20" s="262" t="s">
        <v>200</v>
      </c>
      <c r="D20" s="184" t="str">
        <f>"Actual Charge
("&amp;F8&amp;" True-Up)"</f>
        <v>Actual Charge
(2012 True-Up)</v>
      </c>
      <c r="E20" s="185" t="str">
        <f>"Invoiced for
CY"&amp;F8&amp;" Transmission Service"</f>
        <v>Invoiced for
CY2012 Transmission Service</v>
      </c>
      <c r="F20" s="184" t="s">
        <v>168</v>
      </c>
      <c r="G20" s="186" t="s">
        <v>116</v>
      </c>
      <c r="H20" s="210" t="s">
        <v>181</v>
      </c>
      <c r="M20" s="13"/>
      <c r="N20" s="179"/>
      <c r="O20" s="179"/>
      <c r="P20" s="179"/>
      <c r="Q20" s="179"/>
      <c r="R20" s="179"/>
    </row>
    <row r="21" spans="2:18" ht="12.75">
      <c r="B21" s="240"/>
      <c r="C21" s="180" t="s">
        <v>136</v>
      </c>
      <c r="D21" s="181">
        <f>GETPIVOTDATA("Sum of "&amp;T(Transactions!$J$19),Pivot!$A$3,"Customer",C21)</f>
        <v>15185.239999999998</v>
      </c>
      <c r="E21" s="181">
        <f>GETPIVOTDATA("Sum of Invoiced*** Charge (proj.)",Pivot!$A$3,"Customer",C21)</f>
        <v>10136.050000000001</v>
      </c>
      <c r="F21" s="181">
        <f>D21-E21</f>
        <v>5049.189999999997</v>
      </c>
      <c r="G21" s="179">
        <f>+GETPIVOTDATA("Sum of Interest",Pivot!$A$3,"Customer",C21)</f>
        <v>139.96592059441346</v>
      </c>
      <c r="H21" s="182">
        <f>F21+G21</f>
        <v>5189.15592059441</v>
      </c>
      <c r="K21" s="240"/>
      <c r="M21" s="13"/>
      <c r="N21" s="179"/>
      <c r="O21" s="179"/>
      <c r="P21" s="179"/>
      <c r="Q21" s="179"/>
      <c r="R21" s="179"/>
    </row>
    <row r="22" spans="2:18" ht="12.75">
      <c r="B22" s="240"/>
      <c r="C22" s="201" t="s">
        <v>204</v>
      </c>
      <c r="D22" s="181">
        <f>GETPIVOTDATA("Sum of "&amp;T(Transactions!$J$19),Pivot!$A$3,"Customer",C22)</f>
        <v>2580.4100000000003</v>
      </c>
      <c r="E22" s="181">
        <f>GETPIVOTDATA("Sum of Invoiced*** Charge (proj.)",Pivot!$A$3,"Customer",C22)</f>
        <v>1717</v>
      </c>
      <c r="F22" s="181">
        <f aca="true" t="shared" si="0" ref="F22:F37">D22-E22</f>
        <v>863.4100000000003</v>
      </c>
      <c r="G22" s="179">
        <f>+GETPIVOTDATA("Sum of Interest",Pivot!$A$3,"Customer",C22)</f>
        <v>23.814450746306676</v>
      </c>
      <c r="H22" s="182">
        <f aca="true" t="shared" si="1" ref="H22:H37">F22+G22</f>
        <v>887.224450746307</v>
      </c>
      <c r="K22" s="240"/>
      <c r="M22" s="13"/>
      <c r="N22" s="179"/>
      <c r="O22" s="179"/>
      <c r="P22" s="179"/>
      <c r="Q22" s="179"/>
      <c r="R22" s="179"/>
    </row>
    <row r="23" spans="2:18" ht="12.75">
      <c r="B23" s="240"/>
      <c r="C23" s="180" t="s">
        <v>141</v>
      </c>
      <c r="D23" s="181">
        <f>GETPIVOTDATA("Sum of "&amp;T(Transactions!$J$19),Pivot!$A$3,"Customer",C23)</f>
        <v>1945.4399999999998</v>
      </c>
      <c r="E23" s="181">
        <f>GETPIVOTDATA("Sum of Invoiced*** Charge (proj.)",Pivot!$A$3,"Customer",C23)</f>
        <v>1314.0399999999997</v>
      </c>
      <c r="F23" s="181">
        <f t="shared" si="0"/>
        <v>631.4000000000001</v>
      </c>
      <c r="G23" s="179">
        <f>+GETPIVOTDATA("Sum of Interest",Pivot!$A$3,"Customer",C23)</f>
        <v>17.563676172591105</v>
      </c>
      <c r="H23" s="182">
        <f t="shared" si="1"/>
        <v>648.9636761725912</v>
      </c>
      <c r="K23" s="240"/>
      <c r="M23" s="13"/>
      <c r="N23" s="179"/>
      <c r="O23" s="179"/>
      <c r="P23" s="179"/>
      <c r="Q23" s="179"/>
      <c r="R23" s="179"/>
    </row>
    <row r="24" spans="2:18" ht="12.75">
      <c r="B24" s="240"/>
      <c r="C24" s="201" t="s">
        <v>135</v>
      </c>
      <c r="D24" s="181">
        <f>GETPIVOTDATA("Sum of "&amp;T(Transactions!$J$19),Pivot!$A$3,"Customer",C24)</f>
        <v>1733.14</v>
      </c>
      <c r="E24" s="181">
        <f>GETPIVOTDATA("Sum of Invoiced*** Charge (proj.)",Pivot!$A$3,"Customer",C24)</f>
        <v>1155.78</v>
      </c>
      <c r="F24" s="181">
        <f t="shared" si="0"/>
        <v>577.3600000000001</v>
      </c>
      <c r="G24" s="179">
        <f>+GETPIVOTDATA("Sum of Interest",Pivot!$A$3,"Customer",C24)</f>
        <v>15.8844990590473</v>
      </c>
      <c r="H24" s="182">
        <f t="shared" si="1"/>
        <v>593.2444990590475</v>
      </c>
      <c r="K24" s="240"/>
      <c r="M24" s="30"/>
      <c r="N24" s="179"/>
      <c r="O24" s="179"/>
      <c r="P24" s="179"/>
      <c r="Q24" s="179"/>
      <c r="R24" s="179"/>
    </row>
    <row r="25" spans="2:18" ht="12.75">
      <c r="B25" s="240"/>
      <c r="C25" s="180" t="s">
        <v>139</v>
      </c>
      <c r="D25" s="181">
        <f>GETPIVOTDATA("Sum of "&amp;T(Transactions!$J$19),Pivot!$A$3,"Customer",C25)</f>
        <v>173.70000000000002</v>
      </c>
      <c r="E25" s="181">
        <f>GETPIVOTDATA("Sum of Invoiced*** Charge (proj.)",Pivot!$A$3,"Customer",C25)</f>
        <v>113.44999999999999</v>
      </c>
      <c r="F25" s="181">
        <f t="shared" si="0"/>
        <v>60.25000000000003</v>
      </c>
      <c r="G25" s="179">
        <f>+GETPIVOTDATA("Sum of Interest",Pivot!$A$3,"Customer",C25)</f>
        <v>1.6027612813125969</v>
      </c>
      <c r="H25" s="182">
        <f t="shared" si="1"/>
        <v>61.852761281312624</v>
      </c>
      <c r="J25" s="13"/>
      <c r="K25" s="240"/>
      <c r="L25" s="239"/>
      <c r="M25" s="239"/>
      <c r="N25" s="239"/>
      <c r="O25" s="239"/>
      <c r="P25" s="179"/>
      <c r="Q25" s="179"/>
      <c r="R25" s="179"/>
    </row>
    <row r="26" spans="2:18" ht="12.75">
      <c r="B26" s="240"/>
      <c r="C26" s="180" t="s">
        <v>207</v>
      </c>
      <c r="D26" s="181">
        <f>GETPIVOTDATA("Sum of "&amp;T(Transactions!$J$19),Pivot!$A$3,"Customer",C26)</f>
        <v>1096.24</v>
      </c>
      <c r="E26" s="181">
        <f>GETPIVOTDATA("Sum of Invoiced*** Charge (proj.)",Pivot!$A$3,"Customer",C26)</f>
        <v>731.53</v>
      </c>
      <c r="F26" s="181">
        <f t="shared" si="0"/>
        <v>364.71000000000004</v>
      </c>
      <c r="G26" s="179">
        <f>+GETPIVOTDATA("Sum of Interest",Pivot!$A$3,"Customer",C26)</f>
        <v>10.08740122305365</v>
      </c>
      <c r="H26" s="182">
        <f t="shared" si="1"/>
        <v>374.79740122305367</v>
      </c>
      <c r="J26" s="13"/>
      <c r="K26" s="240"/>
      <c r="L26" s="239"/>
      <c r="M26" s="239"/>
      <c r="N26" s="239"/>
      <c r="O26" s="239"/>
      <c r="P26" s="179"/>
      <c r="Q26" s="179"/>
      <c r="R26" s="179"/>
    </row>
    <row r="27" spans="2:18" ht="12.75">
      <c r="B27" s="240"/>
      <c r="C27" s="180" t="s">
        <v>140</v>
      </c>
      <c r="D27" s="181">
        <f>GETPIVOTDATA("Sum of "&amp;T(Transactions!$J$19),Pivot!$A$3,"Customer",C27)</f>
        <v>46.32</v>
      </c>
      <c r="E27" s="181">
        <f>GETPIVOTDATA("Sum of Invoiced*** Charge (proj.)",Pivot!$A$3,"Customer",C27)</f>
        <v>30.77</v>
      </c>
      <c r="F27" s="181">
        <f t="shared" si="0"/>
        <v>15.55</v>
      </c>
      <c r="G27" s="179">
        <f>+GETPIVOTDATA("Sum of Interest",Pivot!$A$3,"Customer",C27)</f>
        <v>0.43178979133598056</v>
      </c>
      <c r="H27" s="182">
        <f t="shared" si="1"/>
        <v>15.98178979133598</v>
      </c>
      <c r="K27" s="240"/>
      <c r="M27" s="13"/>
      <c r="N27" s="179"/>
      <c r="O27" s="179"/>
      <c r="P27" s="179"/>
      <c r="Q27" s="179"/>
      <c r="R27" s="179"/>
    </row>
    <row r="28" spans="2:18" ht="12.75">
      <c r="B28" s="240"/>
      <c r="C28" s="201" t="s">
        <v>206</v>
      </c>
      <c r="D28" s="181">
        <f>GETPIVOTDATA("Sum of "&amp;T(Transactions!$J$19),Pivot!$A$3,"Customer",C28)</f>
        <v>737.2600000000001</v>
      </c>
      <c r="E28" s="181">
        <f>GETPIVOTDATA("Sum of Invoiced*** Charge (proj.)",Pivot!$A$3,"Customer",C28)</f>
        <v>488.7999999999999</v>
      </c>
      <c r="F28" s="181">
        <f t="shared" si="0"/>
        <v>248.4600000000002</v>
      </c>
      <c r="G28" s="179">
        <f>+GETPIVOTDATA("Sum of Interest",Pivot!$A$3,"Customer",C28)</f>
        <v>6.878173142282276</v>
      </c>
      <c r="H28" s="182">
        <f t="shared" si="1"/>
        <v>255.33817314228247</v>
      </c>
      <c r="K28" s="240"/>
      <c r="M28" s="13"/>
      <c r="N28" s="179"/>
      <c r="O28" s="179"/>
      <c r="P28" s="179"/>
      <c r="Q28" s="179"/>
      <c r="R28" s="179"/>
    </row>
    <row r="29" spans="2:11" ht="12.75">
      <c r="B29" s="240"/>
      <c r="C29" s="180" t="s">
        <v>137</v>
      </c>
      <c r="D29" s="181">
        <f>GETPIVOTDATA("Sum of "&amp;T(Transactions!$J$19),Pivot!$A$3,"Customer",C29)</f>
        <v>13679.84</v>
      </c>
      <c r="E29" s="181">
        <f>GETPIVOTDATA("Sum of Invoiced*** Charge (proj.)",Pivot!$A$3,"Customer",C29)</f>
        <v>9134.32</v>
      </c>
      <c r="F29" s="181">
        <f t="shared" si="0"/>
        <v>4545.52</v>
      </c>
      <c r="G29" s="179">
        <f>+GETPIVOTDATA("Sum of Interest",Pivot!$A$3,"Customer",C29)</f>
        <v>125.33228099978886</v>
      </c>
      <c r="H29" s="182">
        <f t="shared" si="1"/>
        <v>4670.852280999789</v>
      </c>
      <c r="K29" s="240"/>
    </row>
    <row r="30" spans="2:11" ht="12.75">
      <c r="B30" s="240"/>
      <c r="C30" s="201" t="s">
        <v>143</v>
      </c>
      <c r="D30" s="181">
        <f>GETPIVOTDATA("Sum of "&amp;T(Transactions!$J$19),Pivot!$A$3,"Customer",C30)</f>
        <v>463.19999999999993</v>
      </c>
      <c r="E30" s="181">
        <f>GETPIVOTDATA("Sum of Invoiced*** Charge (proj.)",Pivot!$A$3,"Customer",C30)</f>
        <v>307.0799999999999</v>
      </c>
      <c r="F30" s="181">
        <f t="shared" si="0"/>
        <v>156.12</v>
      </c>
      <c r="G30" s="179">
        <f>+GETPIVOTDATA("Sum of Interest",Pivot!$A$3,"Customer",C30)</f>
        <v>4.174779203456365</v>
      </c>
      <c r="H30" s="182">
        <f t="shared" si="1"/>
        <v>160.29477920345636</v>
      </c>
      <c r="K30" s="240"/>
    </row>
    <row r="31" spans="2:11" ht="12.75">
      <c r="B31" s="240"/>
      <c r="C31" s="180" t="s">
        <v>117</v>
      </c>
      <c r="D31" s="181">
        <f>GETPIVOTDATA("Sum of "&amp;T(Transactions!$J$19),Pivot!$A$3,"Customer",C31)</f>
        <v>2692.3500000000004</v>
      </c>
      <c r="E31" s="181">
        <f>GETPIVOTDATA("Sum of Invoiced*** Charge (proj.)",Pivot!$A$3,"Customer",C31)</f>
        <v>1791.49</v>
      </c>
      <c r="F31" s="181">
        <f t="shared" si="0"/>
        <v>900.8600000000004</v>
      </c>
      <c r="G31" s="179">
        <f>+GETPIVOTDATA("Sum of Interest",Pivot!$A$3,"Customer",C31)</f>
        <v>25.0189261718263</v>
      </c>
      <c r="H31" s="182">
        <f t="shared" si="1"/>
        <v>925.8789261718266</v>
      </c>
      <c r="K31" s="240"/>
    </row>
    <row r="32" spans="2:11" ht="12.75">
      <c r="B32" s="240"/>
      <c r="C32" s="180" t="s">
        <v>205</v>
      </c>
      <c r="D32" s="181">
        <f>GETPIVOTDATA("Sum of "&amp;T(Transactions!$J$19),Pivot!$A$3,"Customer",C32)</f>
        <v>281.78</v>
      </c>
      <c r="E32" s="181">
        <f>GETPIVOTDATA("Sum of Invoiced*** Charge (proj.)",Pivot!$A$3,"Customer",C32)</f>
        <v>187.51999999999995</v>
      </c>
      <c r="F32" s="181">
        <f t="shared" si="0"/>
        <v>94.26000000000002</v>
      </c>
      <c r="G32" s="179">
        <f>+GETPIVOTDATA("Sum of Interest",Pivot!$A$3,"Customer",C32)</f>
        <v>2.585398768643679</v>
      </c>
      <c r="H32" s="182">
        <f t="shared" si="1"/>
        <v>96.8453987686437</v>
      </c>
      <c r="K32" s="240"/>
    </row>
    <row r="33" spans="2:11" ht="12.75">
      <c r="B33" s="240"/>
      <c r="C33" s="180" t="s">
        <v>138</v>
      </c>
      <c r="D33" s="181">
        <f>GETPIVOTDATA("Sum of "&amp;T(Transactions!$J$19),Pivot!$A$3,"Customer",C33)</f>
        <v>2180.9</v>
      </c>
      <c r="E33" s="181">
        <f>GETPIVOTDATA("Sum of Invoiced*** Charge (proj.)",Pivot!$A$3,"Customer",C33)</f>
        <v>1456.2199999999998</v>
      </c>
      <c r="F33" s="181">
        <f t="shared" si="0"/>
        <v>724.6800000000003</v>
      </c>
      <c r="G33" s="179">
        <f>+GETPIVOTDATA("Sum of Interest",Pivot!$A$3,"Customer",C33)</f>
        <v>20.002523089371333</v>
      </c>
      <c r="H33" s="182">
        <f t="shared" si="1"/>
        <v>744.6825230893717</v>
      </c>
      <c r="K33" s="240"/>
    </row>
    <row r="34" spans="2:11" ht="12.75">
      <c r="B34" s="240"/>
      <c r="C34" s="183" t="s">
        <v>118</v>
      </c>
      <c r="D34" s="181">
        <f>GETPIVOTDATA("Sum of "&amp;T(Transactions!$J$19),Pivot!$A$3,"Customer",C34)</f>
        <v>752.7</v>
      </c>
      <c r="E34" s="181">
        <f>GETPIVOTDATA("Sum of Invoiced*** Charge (proj.)",Pivot!$A$3,"Customer",C34)</f>
        <v>504.12</v>
      </c>
      <c r="F34" s="181">
        <f t="shared" si="0"/>
        <v>248.58000000000004</v>
      </c>
      <c r="G34" s="179">
        <f>+GETPIVOTDATA("Sum of Interest",Pivot!$A$3,"Customer",C34)</f>
        <v>6.902149456318886</v>
      </c>
      <c r="H34" s="182">
        <f t="shared" si="1"/>
        <v>255.48214945631892</v>
      </c>
      <c r="K34" s="240"/>
    </row>
    <row r="35" spans="3:8" ht="24">
      <c r="C35" s="259" t="s">
        <v>179</v>
      </c>
      <c r="D35" s="260">
        <f>SUM(D21:D34)</f>
        <v>43548.51999999999</v>
      </c>
      <c r="E35" s="260">
        <f>SUM(E21:E34)</f>
        <v>29068.170000000002</v>
      </c>
      <c r="F35" s="260">
        <f>SUM(F21:F34)</f>
        <v>14480.35</v>
      </c>
      <c r="G35" s="261">
        <f>SUM(G21:G34)</f>
        <v>400.2447296997485</v>
      </c>
      <c r="H35" s="258">
        <f>SUM(H21:H34)</f>
        <v>14880.594729699747</v>
      </c>
    </row>
    <row r="36" spans="3:9" ht="12.75">
      <c r="C36" s="201" t="s">
        <v>145</v>
      </c>
      <c r="D36" s="181">
        <f>GETPIVOTDATA("Sum of "&amp;T(Transactions!$J$19),Pivot!$A$3,"Customer",C36)</f>
        <v>73830.22</v>
      </c>
      <c r="E36" s="181">
        <f>GETPIVOTDATA("Sum of Invoiced*** Charge (proj.)",Pivot!$A$3,"Customer",C36)</f>
        <v>49205.67999999999</v>
      </c>
      <c r="F36" s="181">
        <f t="shared" si="0"/>
        <v>24624.540000000008</v>
      </c>
      <c r="G36" s="179">
        <f>+GETPIVOTDATA("Sum of Interest",Pivot!$A$3,"Customer",C36)</f>
        <v>683.3546934103238</v>
      </c>
      <c r="H36" s="182">
        <f t="shared" si="1"/>
        <v>25307.894693410333</v>
      </c>
      <c r="I36" s="240"/>
    </row>
    <row r="37" spans="3:8" ht="12.75">
      <c r="C37" s="183" t="s">
        <v>146</v>
      </c>
      <c r="D37" s="181">
        <f>GETPIVOTDATA("Sum of "&amp;T(Transactions!$J$19),Pivot!$A$3,"Customer",C37)</f>
        <v>72008.3</v>
      </c>
      <c r="E37" s="181">
        <f>GETPIVOTDATA("Sum of Invoiced*** Charge (proj.)",Pivot!$A$3,"Customer",C37)</f>
        <v>48082.08999999999</v>
      </c>
      <c r="F37" s="181">
        <f t="shared" si="0"/>
        <v>23926.210000000014</v>
      </c>
      <c r="G37" s="179">
        <f>+GETPIVOTDATA("Sum of Interest",Pivot!$A$3,"Customer",C37)</f>
        <v>662.744706804907</v>
      </c>
      <c r="H37" s="182">
        <f t="shared" si="1"/>
        <v>24588.95470680492</v>
      </c>
    </row>
    <row r="38" spans="3:8" ht="24">
      <c r="C38" s="263" t="s">
        <v>201</v>
      </c>
      <c r="D38" s="264">
        <f>SUM(D36:D37)</f>
        <v>145838.52000000002</v>
      </c>
      <c r="E38" s="264">
        <f>SUM(E36:E37)</f>
        <v>97287.76999999999</v>
      </c>
      <c r="F38" s="264">
        <f>SUM(F36:F37)</f>
        <v>48550.75000000002</v>
      </c>
      <c r="G38" s="265">
        <f>SUM(G36:G37)</f>
        <v>1346.0994002152306</v>
      </c>
      <c r="H38" s="266">
        <f>SUM(H36:H37)</f>
        <v>49896.84940021526</v>
      </c>
    </row>
    <row r="39" spans="3:8" ht="23.25" customHeight="1" thickBot="1">
      <c r="C39" s="238" t="s">
        <v>180</v>
      </c>
      <c r="D39" s="235">
        <f>SUM(D35,D38)</f>
        <v>189387.04</v>
      </c>
      <c r="E39" s="236">
        <f>SUM(E35,E38)</f>
        <v>126355.93999999999</v>
      </c>
      <c r="F39" s="235">
        <f>SUM(F35,F38)</f>
        <v>63031.10000000002</v>
      </c>
      <c r="G39" s="236">
        <f>SUM(G35,G38)</f>
        <v>1746.344129914979</v>
      </c>
      <c r="H39" s="237">
        <f>SUM(H35,H38)</f>
        <v>64777.444129915006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77"/>
      <c r="B3" s="123"/>
      <c r="C3" s="125" t="s">
        <v>203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12.75">
      <c r="A4" s="125" t="s">
        <v>0</v>
      </c>
      <c r="B4" s="125" t="s">
        <v>150</v>
      </c>
      <c r="C4" s="127">
        <v>40909</v>
      </c>
      <c r="D4" s="128">
        <v>40940</v>
      </c>
      <c r="E4" s="128">
        <v>40969</v>
      </c>
      <c r="F4" s="128">
        <v>41000</v>
      </c>
      <c r="G4" s="128">
        <v>41030</v>
      </c>
      <c r="H4" s="128">
        <v>41061</v>
      </c>
      <c r="I4" s="128">
        <v>41091</v>
      </c>
      <c r="J4" s="128">
        <v>41122</v>
      </c>
      <c r="K4" s="128">
        <v>41153</v>
      </c>
      <c r="L4" s="128">
        <v>41183</v>
      </c>
      <c r="M4" s="128">
        <v>41214</v>
      </c>
      <c r="N4" s="128">
        <v>41244</v>
      </c>
      <c r="O4" s="129" t="s">
        <v>142</v>
      </c>
    </row>
    <row r="5" spans="1:15" ht="12.75">
      <c r="A5" s="177" t="s">
        <v>136</v>
      </c>
      <c r="B5" s="177" t="s">
        <v>240</v>
      </c>
      <c r="C5" s="215">
        <v>1260.29</v>
      </c>
      <c r="D5" s="216">
        <v>1111.68</v>
      </c>
      <c r="E5" s="216">
        <v>924.4699999999999</v>
      </c>
      <c r="F5" s="216">
        <v>918.68</v>
      </c>
      <c r="G5" s="216">
        <v>1372.23</v>
      </c>
      <c r="H5" s="216">
        <v>1675.24</v>
      </c>
      <c r="I5" s="216">
        <v>1615.4099999999999</v>
      </c>
      <c r="J5" s="216">
        <v>1623.1299999999999</v>
      </c>
      <c r="K5" s="216">
        <v>1578.74</v>
      </c>
      <c r="L5" s="216">
        <v>880.0799999999999</v>
      </c>
      <c r="M5" s="216">
        <v>1057.6399999999999</v>
      </c>
      <c r="N5" s="216">
        <v>1167.6499999999999</v>
      </c>
      <c r="O5" s="217">
        <v>15185.239999999998</v>
      </c>
    </row>
    <row r="6" spans="1:15" ht="12.75">
      <c r="A6" s="176"/>
      <c r="B6" s="126" t="s">
        <v>151</v>
      </c>
      <c r="C6" s="254">
        <v>313.43999999999994</v>
      </c>
      <c r="D6" s="255">
        <v>276.48000000000013</v>
      </c>
      <c r="E6" s="255">
        <v>229.91999999999996</v>
      </c>
      <c r="F6" s="255">
        <v>228.48000000000002</v>
      </c>
      <c r="G6" s="255">
        <v>341.28</v>
      </c>
      <c r="H6" s="255">
        <v>416.6400000000001</v>
      </c>
      <c r="I6" s="255">
        <v>661.2299999999999</v>
      </c>
      <c r="J6" s="255">
        <v>664.39</v>
      </c>
      <c r="K6" s="255">
        <v>646.2200000000001</v>
      </c>
      <c r="L6" s="255">
        <v>360.24</v>
      </c>
      <c r="M6" s="255">
        <v>432.91999999999996</v>
      </c>
      <c r="N6" s="255">
        <v>477.94999999999993</v>
      </c>
      <c r="O6" s="256">
        <v>5049.1900000000005</v>
      </c>
    </row>
    <row r="7" spans="1:15" ht="12.75">
      <c r="A7" s="176"/>
      <c r="B7" s="126" t="s">
        <v>152</v>
      </c>
      <c r="C7" s="325">
        <v>14.12638905416814</v>
      </c>
      <c r="D7" s="326">
        <v>11.717257045843496</v>
      </c>
      <c r="E7" s="326">
        <v>9.107607375308062</v>
      </c>
      <c r="F7" s="326">
        <v>8.44117754272493</v>
      </c>
      <c r="G7" s="326">
        <v>11.57277300381476</v>
      </c>
      <c r="H7" s="326">
        <v>12.984582862831388</v>
      </c>
      <c r="I7" s="326">
        <v>18.73732542099645</v>
      </c>
      <c r="J7" s="326">
        <v>16.887423460780703</v>
      </c>
      <c r="K7" s="326">
        <v>14.842066890299558</v>
      </c>
      <c r="L7" s="326">
        <v>7.198175616203564</v>
      </c>
      <c r="M7" s="326">
        <v>7.475296355337153</v>
      </c>
      <c r="N7" s="326">
        <v>6.875845966105272</v>
      </c>
      <c r="O7" s="327">
        <v>139.96592059441346</v>
      </c>
    </row>
    <row r="8" spans="1:15" ht="12.75">
      <c r="A8" s="176"/>
      <c r="B8" s="126" t="s">
        <v>153</v>
      </c>
      <c r="C8" s="325">
        <v>327.5663890541681</v>
      </c>
      <c r="D8" s="326">
        <v>288.1972570458436</v>
      </c>
      <c r="E8" s="326">
        <v>239.027607375308</v>
      </c>
      <c r="F8" s="326">
        <v>236.92117754272493</v>
      </c>
      <c r="G8" s="326">
        <v>352.8527730038147</v>
      </c>
      <c r="H8" s="326">
        <v>429.6245828628315</v>
      </c>
      <c r="I8" s="326">
        <v>679.9673254209963</v>
      </c>
      <c r="J8" s="326">
        <v>681.2774234607807</v>
      </c>
      <c r="K8" s="326">
        <v>661.0620668902997</v>
      </c>
      <c r="L8" s="326">
        <v>367.4381756162036</v>
      </c>
      <c r="M8" s="326">
        <v>440.3952963553371</v>
      </c>
      <c r="N8" s="326">
        <v>484.8258459661052</v>
      </c>
      <c r="O8" s="327">
        <v>5189.155920594414</v>
      </c>
    </row>
    <row r="9" spans="1:15" ht="12.75">
      <c r="A9" s="176"/>
      <c r="B9" s="126" t="s">
        <v>199</v>
      </c>
      <c r="C9" s="325">
        <v>946.85</v>
      </c>
      <c r="D9" s="326">
        <v>835.1999999999999</v>
      </c>
      <c r="E9" s="326">
        <v>694.55</v>
      </c>
      <c r="F9" s="326">
        <v>690.1999999999999</v>
      </c>
      <c r="G9" s="326">
        <v>1030.95</v>
      </c>
      <c r="H9" s="326">
        <v>1258.6</v>
      </c>
      <c r="I9" s="326">
        <v>954.18</v>
      </c>
      <c r="J9" s="326">
        <v>958.7399999999999</v>
      </c>
      <c r="K9" s="326">
        <v>932.5199999999999</v>
      </c>
      <c r="L9" s="326">
        <v>519.8399999999999</v>
      </c>
      <c r="M9" s="326">
        <v>624.7199999999999</v>
      </c>
      <c r="N9" s="326">
        <v>689.6999999999999</v>
      </c>
      <c r="O9" s="327">
        <v>10136.050000000001</v>
      </c>
    </row>
    <row r="10" spans="1:15" ht="12.75">
      <c r="A10" s="177" t="s">
        <v>141</v>
      </c>
      <c r="B10" s="177" t="s">
        <v>240</v>
      </c>
      <c r="C10" s="215">
        <v>179.48999999999998</v>
      </c>
      <c r="D10" s="216">
        <v>179.48999999999998</v>
      </c>
      <c r="E10" s="216">
        <v>164.04999999999998</v>
      </c>
      <c r="F10" s="216">
        <v>181.42</v>
      </c>
      <c r="G10" s="216">
        <v>202.65</v>
      </c>
      <c r="H10" s="216">
        <v>119.66</v>
      </c>
      <c r="I10" s="216">
        <v>119.66</v>
      </c>
      <c r="J10" s="216">
        <v>117.72999999999999</v>
      </c>
      <c r="K10" s="216">
        <v>142.82</v>
      </c>
      <c r="L10" s="216">
        <v>175.63</v>
      </c>
      <c r="M10" s="216">
        <v>179.48999999999998</v>
      </c>
      <c r="N10" s="216">
        <v>183.35</v>
      </c>
      <c r="O10" s="217">
        <v>1945.4399999999998</v>
      </c>
    </row>
    <row r="11" spans="1:15" ht="12.75">
      <c r="A11" s="176"/>
      <c r="B11" s="126" t="s">
        <v>151</v>
      </c>
      <c r="C11" s="254">
        <v>44.639999999999986</v>
      </c>
      <c r="D11" s="255">
        <v>44.639999999999986</v>
      </c>
      <c r="E11" s="255">
        <v>40.79999999999998</v>
      </c>
      <c r="F11" s="255">
        <v>45.120000000000005</v>
      </c>
      <c r="G11" s="255">
        <v>50.400000000000006</v>
      </c>
      <c r="H11" s="255">
        <v>29.760000000000005</v>
      </c>
      <c r="I11" s="255">
        <v>48.980000000000004</v>
      </c>
      <c r="J11" s="255">
        <v>48.19</v>
      </c>
      <c r="K11" s="255">
        <v>58.459999999999994</v>
      </c>
      <c r="L11" s="255">
        <v>71.89</v>
      </c>
      <c r="M11" s="255">
        <v>73.46999999999998</v>
      </c>
      <c r="N11" s="255">
        <v>75.05</v>
      </c>
      <c r="O11" s="256">
        <v>631.3999999999999</v>
      </c>
    </row>
    <row r="12" spans="1:15" ht="12.75">
      <c r="A12" s="176"/>
      <c r="B12" s="126" t="s">
        <v>152</v>
      </c>
      <c r="C12" s="325">
        <v>2.0118747044986782</v>
      </c>
      <c r="D12" s="326">
        <v>1.8918487938601465</v>
      </c>
      <c r="E12" s="326">
        <v>1.6161724987498647</v>
      </c>
      <c r="F12" s="326">
        <v>1.6669552290255114</v>
      </c>
      <c r="G12" s="326">
        <v>1.7090593043608302</v>
      </c>
      <c r="H12" s="326">
        <v>0.9274702044879564</v>
      </c>
      <c r="I12" s="326">
        <v>1.3879500311849222</v>
      </c>
      <c r="J12" s="326">
        <v>1.2248904055976493</v>
      </c>
      <c r="K12" s="326">
        <v>1.34268086782661</v>
      </c>
      <c r="L12" s="326">
        <v>1.4364780286722025</v>
      </c>
      <c r="M12" s="326">
        <v>1.2686178121283853</v>
      </c>
      <c r="N12" s="326">
        <v>1.0796782921983485</v>
      </c>
      <c r="O12" s="327">
        <v>17.563676172591105</v>
      </c>
    </row>
    <row r="13" spans="1:15" ht="12.75">
      <c r="A13" s="176"/>
      <c r="B13" s="126" t="s">
        <v>153</v>
      </c>
      <c r="C13" s="325">
        <v>46.65187470449867</v>
      </c>
      <c r="D13" s="326">
        <v>46.531848793860135</v>
      </c>
      <c r="E13" s="326">
        <v>42.416172498749845</v>
      </c>
      <c r="F13" s="326">
        <v>46.786955229025516</v>
      </c>
      <c r="G13" s="326">
        <v>52.109059304360834</v>
      </c>
      <c r="H13" s="326">
        <v>30.687470204487962</v>
      </c>
      <c r="I13" s="326">
        <v>50.367950031184925</v>
      </c>
      <c r="J13" s="326">
        <v>49.414890405597646</v>
      </c>
      <c r="K13" s="326">
        <v>59.8026808678266</v>
      </c>
      <c r="L13" s="326">
        <v>73.3264780286722</v>
      </c>
      <c r="M13" s="326">
        <v>74.73861781212837</v>
      </c>
      <c r="N13" s="326">
        <v>76.12967829219835</v>
      </c>
      <c r="O13" s="327">
        <v>648.9636761725911</v>
      </c>
    </row>
    <row r="14" spans="1:15" ht="12.75">
      <c r="A14" s="176"/>
      <c r="B14" s="126" t="s">
        <v>199</v>
      </c>
      <c r="C14" s="325">
        <v>134.85</v>
      </c>
      <c r="D14" s="326">
        <v>134.85</v>
      </c>
      <c r="E14" s="326">
        <v>123.25</v>
      </c>
      <c r="F14" s="326">
        <v>136.29999999999998</v>
      </c>
      <c r="G14" s="326">
        <v>152.25</v>
      </c>
      <c r="H14" s="326">
        <v>89.89999999999999</v>
      </c>
      <c r="I14" s="326">
        <v>70.67999999999999</v>
      </c>
      <c r="J14" s="326">
        <v>69.53999999999999</v>
      </c>
      <c r="K14" s="326">
        <v>84.36</v>
      </c>
      <c r="L14" s="326">
        <v>103.74</v>
      </c>
      <c r="M14" s="326">
        <v>106.02</v>
      </c>
      <c r="N14" s="326">
        <v>108.3</v>
      </c>
      <c r="O14" s="327">
        <v>1314.0399999999997</v>
      </c>
    </row>
    <row r="15" spans="1:15" ht="12.75">
      <c r="A15" s="177" t="s">
        <v>135</v>
      </c>
      <c r="B15" s="177" t="s">
        <v>240</v>
      </c>
      <c r="C15" s="215">
        <v>171.76999999999998</v>
      </c>
      <c r="D15" s="216">
        <v>135.1</v>
      </c>
      <c r="E15" s="216">
        <v>104.22</v>
      </c>
      <c r="F15" s="216">
        <v>86.85</v>
      </c>
      <c r="G15" s="216">
        <v>146.68</v>
      </c>
      <c r="H15" s="216">
        <v>177.56</v>
      </c>
      <c r="I15" s="216">
        <v>173.7</v>
      </c>
      <c r="J15" s="216">
        <v>171.76999999999998</v>
      </c>
      <c r="K15" s="216">
        <v>164.04999999999998</v>
      </c>
      <c r="L15" s="216">
        <v>102.28999999999999</v>
      </c>
      <c r="M15" s="216">
        <v>131.24</v>
      </c>
      <c r="N15" s="216">
        <v>167.91</v>
      </c>
      <c r="O15" s="217">
        <v>1733.14</v>
      </c>
    </row>
    <row r="16" spans="1:15" ht="12.75">
      <c r="A16" s="176"/>
      <c r="B16" s="126" t="s">
        <v>151</v>
      </c>
      <c r="C16" s="254">
        <v>42.72</v>
      </c>
      <c r="D16" s="255">
        <v>33.599999999999994</v>
      </c>
      <c r="E16" s="255">
        <v>25.92</v>
      </c>
      <c r="F16" s="255">
        <v>21.599999999999994</v>
      </c>
      <c r="G16" s="255">
        <v>36.480000000000004</v>
      </c>
      <c r="H16" s="255">
        <v>44.16</v>
      </c>
      <c r="I16" s="255">
        <v>71.1</v>
      </c>
      <c r="J16" s="255">
        <v>70.30999999999999</v>
      </c>
      <c r="K16" s="255">
        <v>67.14999999999999</v>
      </c>
      <c r="L16" s="255">
        <v>41.87</v>
      </c>
      <c r="M16" s="255">
        <v>53.72000000000001</v>
      </c>
      <c r="N16" s="255">
        <v>68.73</v>
      </c>
      <c r="O16" s="256">
        <v>577.36</v>
      </c>
    </row>
    <row r="17" spans="1:15" ht="12.75">
      <c r="A17" s="176"/>
      <c r="B17" s="126" t="s">
        <v>152</v>
      </c>
      <c r="C17" s="325">
        <v>1.9253424591438968</v>
      </c>
      <c r="D17" s="326">
        <v>1.4239722104323684</v>
      </c>
      <c r="E17" s="326">
        <v>1.026744881558738</v>
      </c>
      <c r="F17" s="326">
        <v>0.7980104819802977</v>
      </c>
      <c r="G17" s="326">
        <v>1.2370334012516486</v>
      </c>
      <c r="H17" s="326">
        <v>1.3762461098853542</v>
      </c>
      <c r="I17" s="326">
        <v>2.0147661743006937</v>
      </c>
      <c r="J17" s="326">
        <v>1.7871351819375536</v>
      </c>
      <c r="K17" s="326">
        <v>1.5422685643954301</v>
      </c>
      <c r="L17" s="326">
        <v>0.8366300606552387</v>
      </c>
      <c r="M17" s="326">
        <v>0.9275915185454864</v>
      </c>
      <c r="N17" s="326">
        <v>0.988758014960593</v>
      </c>
      <c r="O17" s="327">
        <v>15.8844990590473</v>
      </c>
    </row>
    <row r="18" spans="1:15" ht="12.75">
      <c r="A18" s="176"/>
      <c r="B18" s="126" t="s">
        <v>153</v>
      </c>
      <c r="C18" s="325">
        <v>44.6453424591439</v>
      </c>
      <c r="D18" s="326">
        <v>35.02397221043236</v>
      </c>
      <c r="E18" s="326">
        <v>26.94674488155874</v>
      </c>
      <c r="F18" s="326">
        <v>22.398010481980293</v>
      </c>
      <c r="G18" s="326">
        <v>37.717033401251655</v>
      </c>
      <c r="H18" s="326">
        <v>45.536246109885354</v>
      </c>
      <c r="I18" s="326">
        <v>73.11476617430068</v>
      </c>
      <c r="J18" s="326">
        <v>72.09713518193755</v>
      </c>
      <c r="K18" s="326">
        <v>68.69226856439542</v>
      </c>
      <c r="L18" s="326">
        <v>42.706630060655236</v>
      </c>
      <c r="M18" s="326">
        <v>54.6475915185455</v>
      </c>
      <c r="N18" s="326">
        <v>69.7187580149606</v>
      </c>
      <c r="O18" s="327">
        <v>593.2444990590474</v>
      </c>
    </row>
    <row r="19" spans="1:15" ht="12.75">
      <c r="A19" s="176"/>
      <c r="B19" s="126" t="s">
        <v>199</v>
      </c>
      <c r="C19" s="325">
        <v>129.04999999999998</v>
      </c>
      <c r="D19" s="326">
        <v>101.5</v>
      </c>
      <c r="E19" s="326">
        <v>78.3</v>
      </c>
      <c r="F19" s="326">
        <v>65.25</v>
      </c>
      <c r="G19" s="326">
        <v>110.2</v>
      </c>
      <c r="H19" s="326">
        <v>133.4</v>
      </c>
      <c r="I19" s="326">
        <v>102.6</v>
      </c>
      <c r="J19" s="326">
        <v>101.46</v>
      </c>
      <c r="K19" s="326">
        <v>96.89999999999999</v>
      </c>
      <c r="L19" s="326">
        <v>60.419999999999995</v>
      </c>
      <c r="M19" s="326">
        <v>77.52</v>
      </c>
      <c r="N19" s="326">
        <v>99.17999999999999</v>
      </c>
      <c r="O19" s="327">
        <v>1155.78</v>
      </c>
    </row>
    <row r="20" spans="1:15" ht="12.75">
      <c r="A20" s="177" t="s">
        <v>139</v>
      </c>
      <c r="B20" s="177" t="s">
        <v>240</v>
      </c>
      <c r="C20" s="215">
        <v>7.72</v>
      </c>
      <c r="D20" s="216">
        <v>5.79</v>
      </c>
      <c r="E20" s="216">
        <v>7.72</v>
      </c>
      <c r="F20" s="216">
        <v>11.58</v>
      </c>
      <c r="G20" s="216">
        <v>13.51</v>
      </c>
      <c r="H20" s="216">
        <v>21.23</v>
      </c>
      <c r="I20" s="216">
        <v>25.09</v>
      </c>
      <c r="J20" s="216">
        <v>25.09</v>
      </c>
      <c r="K20" s="216">
        <v>21.23</v>
      </c>
      <c r="L20" s="216">
        <v>9.65</v>
      </c>
      <c r="M20" s="216">
        <v>13.51</v>
      </c>
      <c r="N20" s="216">
        <v>11.58</v>
      </c>
      <c r="O20" s="217">
        <v>173.70000000000002</v>
      </c>
    </row>
    <row r="21" spans="1:15" ht="12.75">
      <c r="A21" s="176"/>
      <c r="B21" s="126" t="s">
        <v>151</v>
      </c>
      <c r="C21" s="254">
        <v>1.92</v>
      </c>
      <c r="D21" s="255">
        <v>1.4400000000000004</v>
      </c>
      <c r="E21" s="255">
        <v>1.92</v>
      </c>
      <c r="F21" s="255">
        <v>2.880000000000001</v>
      </c>
      <c r="G21" s="255">
        <v>3.3599999999999994</v>
      </c>
      <c r="H21" s="255">
        <v>5.280000000000001</v>
      </c>
      <c r="I21" s="255">
        <v>10.270000000000001</v>
      </c>
      <c r="J21" s="255">
        <v>10.270000000000001</v>
      </c>
      <c r="K21" s="255">
        <v>8.690000000000001</v>
      </c>
      <c r="L21" s="255">
        <v>3.950000000000001</v>
      </c>
      <c r="M21" s="255">
        <v>5.53</v>
      </c>
      <c r="N21" s="255">
        <v>4.74</v>
      </c>
      <c r="O21" s="256">
        <v>60.25000000000001</v>
      </c>
    </row>
    <row r="22" spans="1:15" ht="12.75">
      <c r="A22" s="176"/>
      <c r="B22" s="126" t="s">
        <v>152</v>
      </c>
      <c r="C22" s="325">
        <v>0.08653224535478188</v>
      </c>
      <c r="D22" s="326">
        <v>0.061027380447101535</v>
      </c>
      <c r="E22" s="326">
        <v>0.07605517641175838</v>
      </c>
      <c r="F22" s="326">
        <v>0.10640139759737308</v>
      </c>
      <c r="G22" s="326">
        <v>0.11393728695738865</v>
      </c>
      <c r="H22" s="326">
        <v>0.16455116531237934</v>
      </c>
      <c r="I22" s="326">
        <v>0.29102178073232243</v>
      </c>
      <c r="J22" s="326">
        <v>0.26104221758638435</v>
      </c>
      <c r="K22" s="326">
        <v>0.19958769656882044</v>
      </c>
      <c r="L22" s="326">
        <v>0.0789273642127584</v>
      </c>
      <c r="M22" s="326">
        <v>0.09548736220321181</v>
      </c>
      <c r="N22" s="326">
        <v>0.06819020792831676</v>
      </c>
      <c r="O22" s="327">
        <v>1.6027612813125969</v>
      </c>
    </row>
    <row r="23" spans="1:15" ht="12.75">
      <c r="A23" s="176"/>
      <c r="B23" s="126" t="s">
        <v>153</v>
      </c>
      <c r="C23" s="325">
        <v>2.006532245354782</v>
      </c>
      <c r="D23" s="326">
        <v>1.501027380447102</v>
      </c>
      <c r="E23" s="326">
        <v>1.9960551764117582</v>
      </c>
      <c r="F23" s="326">
        <v>2.986401397597374</v>
      </c>
      <c r="G23" s="326">
        <v>3.473937286957388</v>
      </c>
      <c r="H23" s="326">
        <v>5.44455116531238</v>
      </c>
      <c r="I23" s="326">
        <v>10.561021780732323</v>
      </c>
      <c r="J23" s="326">
        <v>10.531042217586386</v>
      </c>
      <c r="K23" s="326">
        <v>8.889587696568821</v>
      </c>
      <c r="L23" s="326">
        <v>4.02892736421276</v>
      </c>
      <c r="M23" s="326">
        <v>5.625487362203212</v>
      </c>
      <c r="N23" s="326">
        <v>4.808190207928317</v>
      </c>
      <c r="O23" s="327">
        <v>61.8527612813126</v>
      </c>
    </row>
    <row r="24" spans="1:15" ht="12.75">
      <c r="A24" s="176"/>
      <c r="B24" s="126" t="s">
        <v>199</v>
      </c>
      <c r="C24" s="325">
        <v>5.8</v>
      </c>
      <c r="D24" s="326">
        <v>4.35</v>
      </c>
      <c r="E24" s="326">
        <v>5.8</v>
      </c>
      <c r="F24" s="326">
        <v>8.7</v>
      </c>
      <c r="G24" s="326">
        <v>10.15</v>
      </c>
      <c r="H24" s="326">
        <v>15.95</v>
      </c>
      <c r="I24" s="326">
        <v>14.819999999999999</v>
      </c>
      <c r="J24" s="326">
        <v>14.819999999999999</v>
      </c>
      <c r="K24" s="326">
        <v>12.54</v>
      </c>
      <c r="L24" s="326">
        <v>5.699999999999999</v>
      </c>
      <c r="M24" s="326">
        <v>7.9799999999999995</v>
      </c>
      <c r="N24" s="326">
        <v>6.84</v>
      </c>
      <c r="O24" s="327">
        <v>113.44999999999999</v>
      </c>
    </row>
    <row r="25" spans="1:15" ht="12.75">
      <c r="A25" s="177" t="s">
        <v>140</v>
      </c>
      <c r="B25" s="177" t="s">
        <v>240</v>
      </c>
      <c r="C25" s="215">
        <v>1.93</v>
      </c>
      <c r="D25" s="216">
        <v>1.93</v>
      </c>
      <c r="E25" s="216">
        <v>3.86</v>
      </c>
      <c r="F25" s="216">
        <v>1.93</v>
      </c>
      <c r="G25" s="216">
        <v>5.79</v>
      </c>
      <c r="H25" s="216">
        <v>5.79</v>
      </c>
      <c r="I25" s="216">
        <v>5.79</v>
      </c>
      <c r="J25" s="216">
        <v>7.72</v>
      </c>
      <c r="K25" s="216">
        <v>3.86</v>
      </c>
      <c r="L25" s="216">
        <v>3.86</v>
      </c>
      <c r="M25" s="216">
        <v>1.93</v>
      </c>
      <c r="N25" s="216">
        <v>1.93</v>
      </c>
      <c r="O25" s="217">
        <v>46.32</v>
      </c>
    </row>
    <row r="26" spans="1:15" ht="12.75">
      <c r="A26" s="176"/>
      <c r="B26" s="126" t="s">
        <v>151</v>
      </c>
      <c r="C26" s="254">
        <v>0.48</v>
      </c>
      <c r="D26" s="255">
        <v>0.48</v>
      </c>
      <c r="E26" s="255">
        <v>0.96</v>
      </c>
      <c r="F26" s="255">
        <v>0.48</v>
      </c>
      <c r="G26" s="255">
        <v>1.4400000000000004</v>
      </c>
      <c r="H26" s="255">
        <v>1.4400000000000004</v>
      </c>
      <c r="I26" s="255">
        <v>2.37</v>
      </c>
      <c r="J26" s="255">
        <v>3.16</v>
      </c>
      <c r="K26" s="255">
        <v>1.58</v>
      </c>
      <c r="L26" s="255">
        <v>1.58</v>
      </c>
      <c r="M26" s="255">
        <v>0.79</v>
      </c>
      <c r="N26" s="255">
        <v>0.79</v>
      </c>
      <c r="O26" s="256">
        <v>15.55</v>
      </c>
    </row>
    <row r="27" spans="1:15" ht="12.75">
      <c r="A27" s="176"/>
      <c r="B27" s="126" t="s">
        <v>152</v>
      </c>
      <c r="C27" s="325">
        <v>0.02163306133869547</v>
      </c>
      <c r="D27" s="326">
        <v>0.020342460149033837</v>
      </c>
      <c r="E27" s="326">
        <v>0.03802758820587919</v>
      </c>
      <c r="F27" s="326">
        <v>0.017733566266228844</v>
      </c>
      <c r="G27" s="326">
        <v>0.048830265838880865</v>
      </c>
      <c r="H27" s="326">
        <v>0.04487759053973983</v>
      </c>
      <c r="I27" s="326">
        <v>0.0671588724766898</v>
      </c>
      <c r="J27" s="326">
        <v>0.0803206823342721</v>
      </c>
      <c r="K27" s="326">
        <v>0.03628867210342189</v>
      </c>
      <c r="L27" s="326">
        <v>0.03157094568510335</v>
      </c>
      <c r="M27" s="326">
        <v>0.013641051743315973</v>
      </c>
      <c r="N27" s="326">
        <v>0.01136503465471946</v>
      </c>
      <c r="O27" s="327">
        <v>0.43178979133598056</v>
      </c>
    </row>
    <row r="28" spans="1:15" ht="12.75">
      <c r="A28" s="176"/>
      <c r="B28" s="126" t="s">
        <v>153</v>
      </c>
      <c r="C28" s="325">
        <v>0.5016330613386955</v>
      </c>
      <c r="D28" s="326">
        <v>0.5003424601490338</v>
      </c>
      <c r="E28" s="326">
        <v>0.9980275882058791</v>
      </c>
      <c r="F28" s="326">
        <v>0.49773356626622883</v>
      </c>
      <c r="G28" s="326">
        <v>1.4888302658388812</v>
      </c>
      <c r="H28" s="326">
        <v>1.4848775905397402</v>
      </c>
      <c r="I28" s="326">
        <v>2.4371588724766897</v>
      </c>
      <c r="J28" s="326">
        <v>3.2403206823342723</v>
      </c>
      <c r="K28" s="326">
        <v>1.616288672103422</v>
      </c>
      <c r="L28" s="326">
        <v>1.6115709456851035</v>
      </c>
      <c r="M28" s="326">
        <v>0.803641051743316</v>
      </c>
      <c r="N28" s="326">
        <v>0.8013650346547195</v>
      </c>
      <c r="O28" s="327">
        <v>15.981789791335983</v>
      </c>
    </row>
    <row r="29" spans="1:15" ht="12.75">
      <c r="A29" s="176"/>
      <c r="B29" s="126" t="s">
        <v>199</v>
      </c>
      <c r="C29" s="325">
        <v>1.45</v>
      </c>
      <c r="D29" s="326">
        <v>1.45</v>
      </c>
      <c r="E29" s="326">
        <v>2.9</v>
      </c>
      <c r="F29" s="326">
        <v>1.45</v>
      </c>
      <c r="G29" s="326">
        <v>4.35</v>
      </c>
      <c r="H29" s="326">
        <v>4.35</v>
      </c>
      <c r="I29" s="326">
        <v>3.42</v>
      </c>
      <c r="J29" s="326">
        <v>4.56</v>
      </c>
      <c r="K29" s="326">
        <v>2.28</v>
      </c>
      <c r="L29" s="326">
        <v>2.28</v>
      </c>
      <c r="M29" s="326">
        <v>1.14</v>
      </c>
      <c r="N29" s="326">
        <v>1.14</v>
      </c>
      <c r="O29" s="327">
        <v>30.77</v>
      </c>
    </row>
    <row r="30" spans="1:15" ht="12.75">
      <c r="A30" s="177" t="s">
        <v>137</v>
      </c>
      <c r="B30" s="177" t="s">
        <v>240</v>
      </c>
      <c r="C30" s="215">
        <v>1337.49</v>
      </c>
      <c r="D30" s="216">
        <v>1129.05</v>
      </c>
      <c r="E30" s="216">
        <v>816.39</v>
      </c>
      <c r="F30" s="216">
        <v>797.0899999999999</v>
      </c>
      <c r="G30" s="216">
        <v>1138.7</v>
      </c>
      <c r="H30" s="216">
        <v>1343.28</v>
      </c>
      <c r="I30" s="216">
        <v>1352.93</v>
      </c>
      <c r="J30" s="216">
        <v>1320.12</v>
      </c>
      <c r="K30" s="216">
        <v>1277.6599999999999</v>
      </c>
      <c r="L30" s="216">
        <v>746.91</v>
      </c>
      <c r="M30" s="216">
        <v>1067.29</v>
      </c>
      <c r="N30" s="216">
        <v>1352.93</v>
      </c>
      <c r="O30" s="217">
        <v>13679.84</v>
      </c>
    </row>
    <row r="31" spans="1:15" ht="12.75">
      <c r="A31" s="176"/>
      <c r="B31" s="126" t="s">
        <v>151</v>
      </c>
      <c r="C31" s="254">
        <v>332.64</v>
      </c>
      <c r="D31" s="255">
        <v>280.79999999999995</v>
      </c>
      <c r="E31" s="255">
        <v>203.03999999999996</v>
      </c>
      <c r="F31" s="255">
        <v>198.2399999999999</v>
      </c>
      <c r="G31" s="255">
        <v>283.20000000000005</v>
      </c>
      <c r="H31" s="255">
        <v>334.08000000000004</v>
      </c>
      <c r="I31" s="255">
        <v>553.7900000000001</v>
      </c>
      <c r="J31" s="255">
        <v>540.36</v>
      </c>
      <c r="K31" s="255">
        <v>522.9799999999999</v>
      </c>
      <c r="L31" s="255">
        <v>305.73</v>
      </c>
      <c r="M31" s="255">
        <v>436.87</v>
      </c>
      <c r="N31" s="255">
        <v>553.7900000000001</v>
      </c>
      <c r="O31" s="256">
        <v>4545.52</v>
      </c>
    </row>
    <row r="32" spans="1:15" ht="12.75">
      <c r="A32" s="176"/>
      <c r="B32" s="126" t="s">
        <v>152</v>
      </c>
      <c r="C32" s="325">
        <v>14.991711507715962</v>
      </c>
      <c r="D32" s="326">
        <v>11.900339187184795</v>
      </c>
      <c r="E32" s="326">
        <v>8.042834905543446</v>
      </c>
      <c r="F32" s="326">
        <v>7.323962867952508</v>
      </c>
      <c r="G32" s="326">
        <v>9.603285614979903</v>
      </c>
      <c r="H32" s="326">
        <v>10.411601005219639</v>
      </c>
      <c r="I32" s="326">
        <v>15.692789868719847</v>
      </c>
      <c r="J32" s="326">
        <v>13.73483667916053</v>
      </c>
      <c r="K32" s="326">
        <v>12.011550466232645</v>
      </c>
      <c r="L32" s="326">
        <v>6.108977990067498</v>
      </c>
      <c r="M32" s="326">
        <v>7.543501614053733</v>
      </c>
      <c r="N32" s="326">
        <v>7.966889292958342</v>
      </c>
      <c r="O32" s="327">
        <v>125.33228099978886</v>
      </c>
    </row>
    <row r="33" spans="1:15" ht="12.75">
      <c r="A33" s="176"/>
      <c r="B33" s="126" t="s">
        <v>153</v>
      </c>
      <c r="C33" s="325">
        <v>347.631711507716</v>
      </c>
      <c r="D33" s="326">
        <v>292.70033918718474</v>
      </c>
      <c r="E33" s="326">
        <v>211.08283490554342</v>
      </c>
      <c r="F33" s="326">
        <v>205.5639628679524</v>
      </c>
      <c r="G33" s="326">
        <v>292.8032856149799</v>
      </c>
      <c r="H33" s="326">
        <v>344.4916010052197</v>
      </c>
      <c r="I33" s="326">
        <v>569.4827898687199</v>
      </c>
      <c r="J33" s="326">
        <v>554.0948366791605</v>
      </c>
      <c r="K33" s="326">
        <v>534.9915504662325</v>
      </c>
      <c r="L33" s="326">
        <v>311.8389779900675</v>
      </c>
      <c r="M33" s="326">
        <v>444.41350161405376</v>
      </c>
      <c r="N33" s="326">
        <v>561.7568892929585</v>
      </c>
      <c r="O33" s="327">
        <v>4670.852280999789</v>
      </c>
    </row>
    <row r="34" spans="1:15" ht="12.75">
      <c r="A34" s="176"/>
      <c r="B34" s="126" t="s">
        <v>199</v>
      </c>
      <c r="C34" s="325">
        <v>1004.85</v>
      </c>
      <c r="D34" s="326">
        <v>848.25</v>
      </c>
      <c r="E34" s="326">
        <v>613.35</v>
      </c>
      <c r="F34" s="326">
        <v>598.85</v>
      </c>
      <c r="G34" s="326">
        <v>855.5</v>
      </c>
      <c r="H34" s="326">
        <v>1009.1999999999999</v>
      </c>
      <c r="I34" s="326">
        <v>799.14</v>
      </c>
      <c r="J34" s="326">
        <v>779.7599999999999</v>
      </c>
      <c r="K34" s="326">
        <v>754.68</v>
      </c>
      <c r="L34" s="326">
        <v>441.17999999999995</v>
      </c>
      <c r="M34" s="326">
        <v>630.42</v>
      </c>
      <c r="N34" s="326">
        <v>799.14</v>
      </c>
      <c r="O34" s="327">
        <v>9134.32</v>
      </c>
    </row>
    <row r="35" spans="1:15" ht="12.75">
      <c r="A35" s="177" t="s">
        <v>143</v>
      </c>
      <c r="B35" s="177" t="s">
        <v>240</v>
      </c>
      <c r="C35" s="215">
        <v>34.74</v>
      </c>
      <c r="D35" s="216">
        <v>28.95</v>
      </c>
      <c r="E35" s="216">
        <v>42.46</v>
      </c>
      <c r="F35" s="216">
        <v>17.37</v>
      </c>
      <c r="G35" s="216">
        <v>38.6</v>
      </c>
      <c r="H35" s="216">
        <v>46.32</v>
      </c>
      <c r="I35" s="216">
        <v>36.67</v>
      </c>
      <c r="J35" s="216">
        <v>44.39</v>
      </c>
      <c r="K35" s="216">
        <v>46.32</v>
      </c>
      <c r="L35" s="216">
        <v>42.46</v>
      </c>
      <c r="M35" s="216">
        <v>40.53</v>
      </c>
      <c r="N35" s="216">
        <v>44.39</v>
      </c>
      <c r="O35" s="217">
        <v>463.19999999999993</v>
      </c>
    </row>
    <row r="36" spans="1:15" ht="12.75">
      <c r="A36" s="176"/>
      <c r="B36" s="126" t="s">
        <v>151</v>
      </c>
      <c r="C36" s="254">
        <v>8.640000000000004</v>
      </c>
      <c r="D36" s="255">
        <v>7.199999999999999</v>
      </c>
      <c r="E36" s="255">
        <v>10.560000000000002</v>
      </c>
      <c r="F36" s="255">
        <v>4.320000000000002</v>
      </c>
      <c r="G36" s="255">
        <v>9.600000000000001</v>
      </c>
      <c r="H36" s="255">
        <v>11.520000000000003</v>
      </c>
      <c r="I36" s="255">
        <v>15.010000000000005</v>
      </c>
      <c r="J36" s="255">
        <v>18.17</v>
      </c>
      <c r="K36" s="255">
        <v>18.96</v>
      </c>
      <c r="L36" s="255">
        <v>17.380000000000003</v>
      </c>
      <c r="M36" s="255">
        <v>16.590000000000003</v>
      </c>
      <c r="N36" s="255">
        <v>18.17</v>
      </c>
      <c r="O36" s="256">
        <v>156.12</v>
      </c>
    </row>
    <row r="37" spans="1:15" ht="12.75">
      <c r="A37" s="176"/>
      <c r="B37" s="126" t="s">
        <v>152</v>
      </c>
      <c r="C37" s="325">
        <v>0.38939510409651873</v>
      </c>
      <c r="D37" s="326">
        <v>0.30513690223550755</v>
      </c>
      <c r="E37" s="326">
        <v>0.4183034702646712</v>
      </c>
      <c r="F37" s="326">
        <v>0.15960209639605966</v>
      </c>
      <c r="G37" s="326">
        <v>0.3255351055925391</v>
      </c>
      <c r="H37" s="326">
        <v>0.35902072431791865</v>
      </c>
      <c r="I37" s="326">
        <v>0.4253395256857021</v>
      </c>
      <c r="J37" s="326">
        <v>0.4618439234220646</v>
      </c>
      <c r="K37" s="326">
        <v>0.43546406524106274</v>
      </c>
      <c r="L37" s="326">
        <v>0.3472804025361369</v>
      </c>
      <c r="M37" s="326">
        <v>0.2864620866096355</v>
      </c>
      <c r="N37" s="326">
        <v>0.2613957970585476</v>
      </c>
      <c r="O37" s="327">
        <v>4.174779203456365</v>
      </c>
    </row>
    <row r="38" spans="1:15" ht="12.75">
      <c r="A38" s="176"/>
      <c r="B38" s="126" t="s">
        <v>153</v>
      </c>
      <c r="C38" s="325">
        <v>9.029395104096523</v>
      </c>
      <c r="D38" s="326">
        <v>7.505136902235507</v>
      </c>
      <c r="E38" s="326">
        <v>10.978303470264674</v>
      </c>
      <c r="F38" s="326">
        <v>4.479602096396062</v>
      </c>
      <c r="G38" s="326">
        <v>9.925535105592541</v>
      </c>
      <c r="H38" s="326">
        <v>11.879020724317922</v>
      </c>
      <c r="I38" s="326">
        <v>15.435339525685707</v>
      </c>
      <c r="J38" s="326">
        <v>18.631843923422068</v>
      </c>
      <c r="K38" s="326">
        <v>19.395464065241065</v>
      </c>
      <c r="L38" s="326">
        <v>17.727280402536138</v>
      </c>
      <c r="M38" s="326">
        <v>16.87646208660964</v>
      </c>
      <c r="N38" s="326">
        <v>18.43139579705855</v>
      </c>
      <c r="O38" s="327">
        <v>160.2947792034564</v>
      </c>
    </row>
    <row r="39" spans="1:15" ht="12.75">
      <c r="A39" s="176"/>
      <c r="B39" s="126" t="s">
        <v>199</v>
      </c>
      <c r="C39" s="325">
        <v>26.099999999999998</v>
      </c>
      <c r="D39" s="326">
        <v>21.75</v>
      </c>
      <c r="E39" s="326">
        <v>31.9</v>
      </c>
      <c r="F39" s="326">
        <v>13.049999999999999</v>
      </c>
      <c r="G39" s="326">
        <v>29</v>
      </c>
      <c r="H39" s="326">
        <v>34.8</v>
      </c>
      <c r="I39" s="326">
        <v>21.659999999999997</v>
      </c>
      <c r="J39" s="326">
        <v>26.22</v>
      </c>
      <c r="K39" s="326">
        <v>27.36</v>
      </c>
      <c r="L39" s="326">
        <v>25.08</v>
      </c>
      <c r="M39" s="326">
        <v>23.939999999999998</v>
      </c>
      <c r="N39" s="326">
        <v>26.22</v>
      </c>
      <c r="O39" s="327">
        <v>307.0799999999999</v>
      </c>
    </row>
    <row r="40" spans="1:15" ht="12.75">
      <c r="A40" s="177" t="s">
        <v>117</v>
      </c>
      <c r="B40" s="177" t="s">
        <v>240</v>
      </c>
      <c r="C40" s="215">
        <v>154.4</v>
      </c>
      <c r="D40" s="216">
        <v>164.04999999999998</v>
      </c>
      <c r="E40" s="216">
        <v>156.32999999999998</v>
      </c>
      <c r="F40" s="216">
        <v>198.79</v>
      </c>
      <c r="G40" s="216">
        <v>262.48</v>
      </c>
      <c r="H40" s="216">
        <v>316.52</v>
      </c>
      <c r="I40" s="216">
        <v>326.17</v>
      </c>
      <c r="J40" s="216">
        <v>341.61</v>
      </c>
      <c r="K40" s="216">
        <v>310.73</v>
      </c>
      <c r="L40" s="216">
        <v>169.84</v>
      </c>
      <c r="M40" s="216">
        <v>137.03</v>
      </c>
      <c r="N40" s="216">
        <v>154.4</v>
      </c>
      <c r="O40" s="217">
        <v>2692.3500000000004</v>
      </c>
    </row>
    <row r="41" spans="1:15" ht="12.75">
      <c r="A41" s="176"/>
      <c r="B41" s="126" t="s">
        <v>151</v>
      </c>
      <c r="C41" s="254">
        <v>38.400000000000006</v>
      </c>
      <c r="D41" s="255">
        <v>40.79999999999998</v>
      </c>
      <c r="E41" s="255">
        <v>38.87999999999998</v>
      </c>
      <c r="F41" s="255">
        <v>49.44</v>
      </c>
      <c r="G41" s="255">
        <v>65.28000000000003</v>
      </c>
      <c r="H41" s="255">
        <v>78.72</v>
      </c>
      <c r="I41" s="255">
        <v>133.51000000000002</v>
      </c>
      <c r="J41" s="255">
        <v>139.83000000000004</v>
      </c>
      <c r="K41" s="255">
        <v>127.19000000000003</v>
      </c>
      <c r="L41" s="255">
        <v>69.52000000000001</v>
      </c>
      <c r="M41" s="255">
        <v>56.09</v>
      </c>
      <c r="N41" s="255">
        <v>63.20000000000002</v>
      </c>
      <c r="O41" s="256">
        <v>900.8600000000001</v>
      </c>
    </row>
    <row r="42" spans="1:15" ht="12.75">
      <c r="A42" s="176"/>
      <c r="B42" s="126" t="s">
        <v>152</v>
      </c>
      <c r="C42" s="325">
        <v>1.7306449070956382</v>
      </c>
      <c r="D42" s="326">
        <v>1.7291091126678757</v>
      </c>
      <c r="E42" s="326">
        <v>1.5401173223381062</v>
      </c>
      <c r="F42" s="326">
        <v>1.8265573254215703</v>
      </c>
      <c r="G42" s="326">
        <v>2.2136387180292667</v>
      </c>
      <c r="H42" s="326">
        <v>2.45330828283911</v>
      </c>
      <c r="I42" s="326">
        <v>3.7832831495201917</v>
      </c>
      <c r="J42" s="326">
        <v>3.554190193291541</v>
      </c>
      <c r="K42" s="326">
        <v>2.921238104325463</v>
      </c>
      <c r="L42" s="326">
        <v>1.3891216101445476</v>
      </c>
      <c r="M42" s="326">
        <v>0.9685146737754342</v>
      </c>
      <c r="N42" s="326">
        <v>0.9092027723775571</v>
      </c>
      <c r="O42" s="327">
        <v>25.0189261718263</v>
      </c>
    </row>
    <row r="43" spans="1:15" ht="12.75">
      <c r="A43" s="176"/>
      <c r="B43" s="126" t="s">
        <v>153</v>
      </c>
      <c r="C43" s="325">
        <v>40.13064490709564</v>
      </c>
      <c r="D43" s="326">
        <v>42.52910911266786</v>
      </c>
      <c r="E43" s="326">
        <v>40.420117322338086</v>
      </c>
      <c r="F43" s="326">
        <v>51.266557325421566</v>
      </c>
      <c r="G43" s="326">
        <v>67.4936387180293</v>
      </c>
      <c r="H43" s="326">
        <v>81.17330828283912</v>
      </c>
      <c r="I43" s="326">
        <v>137.29328314952022</v>
      </c>
      <c r="J43" s="326">
        <v>143.38419019329157</v>
      </c>
      <c r="K43" s="326">
        <v>130.11123810432548</v>
      </c>
      <c r="L43" s="326">
        <v>70.90912161014455</v>
      </c>
      <c r="M43" s="326">
        <v>57.058514673775434</v>
      </c>
      <c r="N43" s="326">
        <v>64.10920277237757</v>
      </c>
      <c r="O43" s="327">
        <v>925.8789261718264</v>
      </c>
    </row>
    <row r="44" spans="1:15" ht="12.75">
      <c r="A44" s="176"/>
      <c r="B44" s="126" t="s">
        <v>199</v>
      </c>
      <c r="C44" s="325">
        <v>116</v>
      </c>
      <c r="D44" s="326">
        <v>123.25</v>
      </c>
      <c r="E44" s="326">
        <v>117.45</v>
      </c>
      <c r="F44" s="326">
        <v>149.35</v>
      </c>
      <c r="G44" s="326">
        <v>197.2</v>
      </c>
      <c r="H44" s="326">
        <v>237.79999999999998</v>
      </c>
      <c r="I44" s="326">
        <v>192.66</v>
      </c>
      <c r="J44" s="326">
        <v>201.77999999999997</v>
      </c>
      <c r="K44" s="326">
        <v>183.54</v>
      </c>
      <c r="L44" s="326">
        <v>100.32</v>
      </c>
      <c r="M44" s="326">
        <v>80.94</v>
      </c>
      <c r="N44" s="326">
        <v>91.19999999999999</v>
      </c>
      <c r="O44" s="327">
        <v>1791.49</v>
      </c>
    </row>
    <row r="45" spans="1:15" ht="12.75">
      <c r="A45" s="177" t="s">
        <v>145</v>
      </c>
      <c r="B45" s="177" t="s">
        <v>240</v>
      </c>
      <c r="C45" s="215">
        <v>4950.45</v>
      </c>
      <c r="D45" s="216">
        <v>4873.25</v>
      </c>
      <c r="E45" s="216">
        <v>4745.87</v>
      </c>
      <c r="F45" s="216">
        <v>5417.51</v>
      </c>
      <c r="G45" s="216">
        <v>6901.679999999999</v>
      </c>
      <c r="H45" s="216">
        <v>7951.599999999999</v>
      </c>
      <c r="I45" s="216">
        <v>8279.699999999999</v>
      </c>
      <c r="J45" s="216">
        <v>8544.11</v>
      </c>
      <c r="K45" s="216">
        <v>7967.04</v>
      </c>
      <c r="L45" s="216">
        <v>5031.51</v>
      </c>
      <c r="M45" s="216">
        <v>4377.24</v>
      </c>
      <c r="N45" s="216">
        <v>4790.26</v>
      </c>
      <c r="O45" s="217">
        <v>73830.22</v>
      </c>
    </row>
    <row r="46" spans="1:15" ht="12.75">
      <c r="A46" s="176"/>
      <c r="B46" s="126" t="s">
        <v>151</v>
      </c>
      <c r="C46" s="254">
        <v>1231.1999999999998</v>
      </c>
      <c r="D46" s="255">
        <v>1212</v>
      </c>
      <c r="E46" s="255">
        <v>1180.3200000000002</v>
      </c>
      <c r="F46" s="255">
        <v>1347.3600000000001</v>
      </c>
      <c r="G46" s="255">
        <v>1716.4799999999996</v>
      </c>
      <c r="H46" s="255">
        <v>1977.5999999999995</v>
      </c>
      <c r="I46" s="255">
        <v>3389.0999999999995</v>
      </c>
      <c r="J46" s="255">
        <v>3497.330000000001</v>
      </c>
      <c r="K46" s="255">
        <v>3261.120000000001</v>
      </c>
      <c r="L46" s="255">
        <v>2059.5300000000007</v>
      </c>
      <c r="M46" s="255">
        <v>1791.7199999999998</v>
      </c>
      <c r="N46" s="255">
        <v>1960.7800000000007</v>
      </c>
      <c r="O46" s="256">
        <v>24624.54</v>
      </c>
    </row>
    <row r="47" spans="1:15" ht="12.75">
      <c r="A47" s="176"/>
      <c r="B47" s="126" t="s">
        <v>152</v>
      </c>
      <c r="C47" s="325">
        <v>55.488802333753874</v>
      </c>
      <c r="D47" s="326">
        <v>51.364711876310444</v>
      </c>
      <c r="E47" s="326">
        <v>46.754919699128465</v>
      </c>
      <c r="F47" s="326">
        <v>49.77812050930436</v>
      </c>
      <c r="G47" s="326">
        <v>58.20567687994597</v>
      </c>
      <c r="H47" s="326">
        <v>61.63189100790933</v>
      </c>
      <c r="I47" s="326">
        <v>96.03718764166638</v>
      </c>
      <c r="J47" s="326">
        <v>88.89491517345566</v>
      </c>
      <c r="K47" s="326">
        <v>74.8998192214628</v>
      </c>
      <c r="L47" s="326">
        <v>41.152727700532225</v>
      </c>
      <c r="M47" s="326">
        <v>30.937905353840623</v>
      </c>
      <c r="N47" s="326">
        <v>28.208016013013708</v>
      </c>
      <c r="O47" s="327">
        <v>683.3546934103238</v>
      </c>
    </row>
    <row r="48" spans="1:15" ht="12.75">
      <c r="A48" s="176"/>
      <c r="B48" s="126" t="s">
        <v>153</v>
      </c>
      <c r="C48" s="325">
        <v>1286.6888023337538</v>
      </c>
      <c r="D48" s="326">
        <v>1263.3647118763104</v>
      </c>
      <c r="E48" s="326">
        <v>1227.0749196991287</v>
      </c>
      <c r="F48" s="326">
        <v>1397.1381205093044</v>
      </c>
      <c r="G48" s="326">
        <v>1774.6856768799455</v>
      </c>
      <c r="H48" s="326">
        <v>2039.2318910079089</v>
      </c>
      <c r="I48" s="326">
        <v>3485.137187641666</v>
      </c>
      <c r="J48" s="326">
        <v>3586.2249151734563</v>
      </c>
      <c r="K48" s="326">
        <v>3336.0198192214634</v>
      </c>
      <c r="L48" s="326">
        <v>2100.6827277005327</v>
      </c>
      <c r="M48" s="326">
        <v>1822.6579053538405</v>
      </c>
      <c r="N48" s="326">
        <v>1988.9880160130144</v>
      </c>
      <c r="O48" s="327">
        <v>25307.894693410326</v>
      </c>
    </row>
    <row r="49" spans="1:15" ht="12.75">
      <c r="A49" s="176"/>
      <c r="B49" s="126" t="s">
        <v>199</v>
      </c>
      <c r="C49" s="325">
        <v>3719.25</v>
      </c>
      <c r="D49" s="326">
        <v>3661.25</v>
      </c>
      <c r="E49" s="326">
        <v>3565.5499999999997</v>
      </c>
      <c r="F49" s="326">
        <v>4070.15</v>
      </c>
      <c r="G49" s="326">
        <v>5185.2</v>
      </c>
      <c r="H49" s="326">
        <v>5974</v>
      </c>
      <c r="I49" s="326">
        <v>4890.599999999999</v>
      </c>
      <c r="J49" s="326">
        <v>5046.78</v>
      </c>
      <c r="K49" s="326">
        <v>4705.919999999999</v>
      </c>
      <c r="L49" s="326">
        <v>2971.9799999999996</v>
      </c>
      <c r="M49" s="326">
        <v>2585.52</v>
      </c>
      <c r="N49" s="326">
        <v>2829.4799999999996</v>
      </c>
      <c r="O49" s="327">
        <v>49205.67999999999</v>
      </c>
    </row>
    <row r="50" spans="1:15" ht="12.75">
      <c r="A50" s="177" t="s">
        <v>146</v>
      </c>
      <c r="B50" s="177" t="s">
        <v>240</v>
      </c>
      <c r="C50" s="215">
        <v>5466.724999999999</v>
      </c>
      <c r="D50" s="216">
        <v>5171.4349999999995</v>
      </c>
      <c r="E50" s="216">
        <v>4588.575</v>
      </c>
      <c r="F50" s="216">
        <v>5273.724999999999</v>
      </c>
      <c r="G50" s="216">
        <v>6541.735</v>
      </c>
      <c r="H50" s="216">
        <v>7502.875</v>
      </c>
      <c r="I50" s="216">
        <v>7595.514999999999</v>
      </c>
      <c r="J50" s="216">
        <v>7416.025</v>
      </c>
      <c r="K50" s="216">
        <v>7250.045</v>
      </c>
      <c r="L50" s="216">
        <v>4997.735</v>
      </c>
      <c r="M50" s="216">
        <v>4742.974999999999</v>
      </c>
      <c r="N50" s="216">
        <v>5460.9349999999995</v>
      </c>
      <c r="O50" s="217">
        <v>72008.3</v>
      </c>
    </row>
    <row r="51" spans="1:15" ht="12.75">
      <c r="A51" s="176"/>
      <c r="B51" s="126" t="s">
        <v>151</v>
      </c>
      <c r="C51" s="254">
        <v>1359.5999999999995</v>
      </c>
      <c r="D51" s="255">
        <v>1286.1599999999994</v>
      </c>
      <c r="E51" s="255">
        <v>1141.1999999999998</v>
      </c>
      <c r="F51" s="255">
        <v>1311.5999999999995</v>
      </c>
      <c r="G51" s="255">
        <v>1626.96</v>
      </c>
      <c r="H51" s="255">
        <v>1866</v>
      </c>
      <c r="I51" s="255">
        <v>3109.045</v>
      </c>
      <c r="J51" s="255">
        <v>3035.575</v>
      </c>
      <c r="K51" s="255">
        <v>2967.635</v>
      </c>
      <c r="L51" s="255">
        <v>2045.705</v>
      </c>
      <c r="M51" s="255">
        <v>1941.4249999999997</v>
      </c>
      <c r="N51" s="255">
        <v>2235.305</v>
      </c>
      <c r="O51" s="256">
        <v>23926.209999999995</v>
      </c>
    </row>
    <row r="52" spans="1:15" ht="12.75">
      <c r="A52" s="176"/>
      <c r="B52" s="126" t="s">
        <v>152</v>
      </c>
      <c r="C52" s="325">
        <v>61.27564624185491</v>
      </c>
      <c r="D52" s="326">
        <v>54.50762196933614</v>
      </c>
      <c r="E52" s="326">
        <v>45.20529547973888</v>
      </c>
      <c r="F52" s="326">
        <v>48.4569698224703</v>
      </c>
      <c r="G52" s="326">
        <v>55.17006202029556</v>
      </c>
      <c r="H52" s="326">
        <v>58.15387774107951</v>
      </c>
      <c r="I52" s="326">
        <v>88.10124754400421</v>
      </c>
      <c r="J52" s="326">
        <v>77.15805546736011</v>
      </c>
      <c r="K52" s="326">
        <v>68.15919837825219</v>
      </c>
      <c r="L52" s="326">
        <v>40.87648192578756</v>
      </c>
      <c r="M52" s="326">
        <v>33.522884659199</v>
      </c>
      <c r="N52" s="326">
        <v>32.15736555552871</v>
      </c>
      <c r="O52" s="327">
        <v>662.744706804907</v>
      </c>
    </row>
    <row r="53" spans="1:15" ht="12.75">
      <c r="A53" s="176"/>
      <c r="B53" s="126" t="s">
        <v>153</v>
      </c>
      <c r="C53" s="325">
        <v>1420.8756462418544</v>
      </c>
      <c r="D53" s="326">
        <v>1340.6676219693356</v>
      </c>
      <c r="E53" s="326">
        <v>1186.4052954797387</v>
      </c>
      <c r="F53" s="326">
        <v>1360.0569698224697</v>
      </c>
      <c r="G53" s="326">
        <v>1682.1300620202956</v>
      </c>
      <c r="H53" s="326">
        <v>1924.1538777410794</v>
      </c>
      <c r="I53" s="326">
        <v>3197.1462475440044</v>
      </c>
      <c r="J53" s="326">
        <v>3112.73305546736</v>
      </c>
      <c r="K53" s="326">
        <v>3035.7941983782525</v>
      </c>
      <c r="L53" s="326">
        <v>2086.5814819257876</v>
      </c>
      <c r="M53" s="326">
        <v>1974.9478846591987</v>
      </c>
      <c r="N53" s="326">
        <v>2267.462365555529</v>
      </c>
      <c r="O53" s="327">
        <v>24588.954706804903</v>
      </c>
    </row>
    <row r="54" spans="1:15" ht="12.75">
      <c r="A54" s="176"/>
      <c r="B54" s="126" t="s">
        <v>199</v>
      </c>
      <c r="C54" s="325">
        <v>4107.125</v>
      </c>
      <c r="D54" s="326">
        <v>3885.275</v>
      </c>
      <c r="E54" s="326">
        <v>3447.375</v>
      </c>
      <c r="F54" s="326">
        <v>3962.125</v>
      </c>
      <c r="G54" s="326">
        <v>4914.775</v>
      </c>
      <c r="H54" s="326">
        <v>5636.875</v>
      </c>
      <c r="I54" s="326">
        <v>4486.469999999999</v>
      </c>
      <c r="J54" s="326">
        <v>4380.45</v>
      </c>
      <c r="K54" s="326">
        <v>4282.41</v>
      </c>
      <c r="L54" s="326">
        <v>2952.0299999999997</v>
      </c>
      <c r="M54" s="326">
        <v>2801.5499999999997</v>
      </c>
      <c r="N54" s="326">
        <v>3225.6299999999997</v>
      </c>
      <c r="O54" s="327">
        <v>48082.08999999999</v>
      </c>
    </row>
    <row r="55" spans="1:15" ht="12.75">
      <c r="A55" s="177" t="s">
        <v>138</v>
      </c>
      <c r="B55" s="177" t="s">
        <v>240</v>
      </c>
      <c r="C55" s="215">
        <v>202.65</v>
      </c>
      <c r="D55" s="216">
        <v>164.04999999999998</v>
      </c>
      <c r="E55" s="216">
        <v>131.24</v>
      </c>
      <c r="F55" s="216">
        <v>137.03</v>
      </c>
      <c r="G55" s="216">
        <v>185.28</v>
      </c>
      <c r="H55" s="216">
        <v>225.81</v>
      </c>
      <c r="I55" s="216">
        <v>218.09</v>
      </c>
      <c r="J55" s="216">
        <v>214.23</v>
      </c>
      <c r="K55" s="216">
        <v>210.37</v>
      </c>
      <c r="L55" s="216">
        <v>137.03</v>
      </c>
      <c r="M55" s="216">
        <v>160.19</v>
      </c>
      <c r="N55" s="216">
        <v>194.93</v>
      </c>
      <c r="O55" s="217">
        <v>2180.9</v>
      </c>
    </row>
    <row r="56" spans="1:15" ht="12.75">
      <c r="A56" s="176"/>
      <c r="B56" s="126" t="s">
        <v>151</v>
      </c>
      <c r="C56" s="254">
        <v>50.400000000000006</v>
      </c>
      <c r="D56" s="255">
        <v>40.79999999999998</v>
      </c>
      <c r="E56" s="255">
        <v>32.640000000000015</v>
      </c>
      <c r="F56" s="255">
        <v>34.08</v>
      </c>
      <c r="G56" s="255">
        <v>46.08000000000001</v>
      </c>
      <c r="H56" s="255">
        <v>56.16</v>
      </c>
      <c r="I56" s="255">
        <v>89.27000000000001</v>
      </c>
      <c r="J56" s="255">
        <v>87.69</v>
      </c>
      <c r="K56" s="255">
        <v>86.11000000000001</v>
      </c>
      <c r="L56" s="255">
        <v>56.09</v>
      </c>
      <c r="M56" s="255">
        <v>65.57000000000001</v>
      </c>
      <c r="N56" s="255">
        <v>79.79000000000002</v>
      </c>
      <c r="O56" s="256">
        <v>724.6800000000001</v>
      </c>
    </row>
    <row r="57" spans="1:15" ht="12.75">
      <c r="A57" s="176"/>
      <c r="B57" s="126" t="s">
        <v>152</v>
      </c>
      <c r="C57" s="325">
        <v>2.271471440563025</v>
      </c>
      <c r="D57" s="326">
        <v>1.7291091126678757</v>
      </c>
      <c r="E57" s="326">
        <v>1.292937998999893</v>
      </c>
      <c r="F57" s="326">
        <v>1.2590832049022476</v>
      </c>
      <c r="G57" s="326">
        <v>1.5625685068441877</v>
      </c>
      <c r="H57" s="326">
        <v>1.7502260310498527</v>
      </c>
      <c r="I57" s="326">
        <v>2.5296508632886487</v>
      </c>
      <c r="J57" s="326">
        <v>2.2288989347760504</v>
      </c>
      <c r="K57" s="326">
        <v>1.9777326296364937</v>
      </c>
      <c r="L57" s="326">
        <v>1.120768571821169</v>
      </c>
      <c r="M57" s="326">
        <v>1.1322072946952257</v>
      </c>
      <c r="N57" s="326">
        <v>1.1478685001266657</v>
      </c>
      <c r="O57" s="327">
        <v>20.002523089371333</v>
      </c>
    </row>
    <row r="58" spans="1:15" ht="12.75">
      <c r="A58" s="176"/>
      <c r="B58" s="126" t="s">
        <v>153</v>
      </c>
      <c r="C58" s="325">
        <v>52.67147144056303</v>
      </c>
      <c r="D58" s="326">
        <v>42.52910911266786</v>
      </c>
      <c r="E58" s="326">
        <v>33.93293799899991</v>
      </c>
      <c r="F58" s="326">
        <v>35.339083204902245</v>
      </c>
      <c r="G58" s="326">
        <v>47.6425685068442</v>
      </c>
      <c r="H58" s="326">
        <v>57.91022603104985</v>
      </c>
      <c r="I58" s="326">
        <v>91.79965086328866</v>
      </c>
      <c r="J58" s="326">
        <v>89.91889893477605</v>
      </c>
      <c r="K58" s="326">
        <v>88.0877326296365</v>
      </c>
      <c r="L58" s="326">
        <v>57.21076857182117</v>
      </c>
      <c r="M58" s="326">
        <v>66.70220729469523</v>
      </c>
      <c r="N58" s="326">
        <v>80.93786850012668</v>
      </c>
      <c r="O58" s="327">
        <v>744.6825230893713</v>
      </c>
    </row>
    <row r="59" spans="1:15" ht="12.75">
      <c r="A59" s="176"/>
      <c r="B59" s="126" t="s">
        <v>199</v>
      </c>
      <c r="C59" s="325">
        <v>152.25</v>
      </c>
      <c r="D59" s="326">
        <v>123.25</v>
      </c>
      <c r="E59" s="326">
        <v>98.6</v>
      </c>
      <c r="F59" s="326">
        <v>102.95</v>
      </c>
      <c r="G59" s="326">
        <v>139.2</v>
      </c>
      <c r="H59" s="326">
        <v>169.65</v>
      </c>
      <c r="I59" s="326">
        <v>128.82</v>
      </c>
      <c r="J59" s="326">
        <v>126.53999999999999</v>
      </c>
      <c r="K59" s="326">
        <v>124.25999999999999</v>
      </c>
      <c r="L59" s="326">
        <v>80.94</v>
      </c>
      <c r="M59" s="326">
        <v>94.61999999999999</v>
      </c>
      <c r="N59" s="326">
        <v>115.13999999999999</v>
      </c>
      <c r="O59" s="327">
        <v>1456.2199999999998</v>
      </c>
    </row>
    <row r="60" spans="1:15" ht="12.75">
      <c r="A60" s="177" t="s">
        <v>118</v>
      </c>
      <c r="B60" s="177" t="s">
        <v>240</v>
      </c>
      <c r="C60" s="215">
        <v>67.55</v>
      </c>
      <c r="D60" s="216">
        <v>63.69</v>
      </c>
      <c r="E60" s="216">
        <v>55.97</v>
      </c>
      <c r="F60" s="216">
        <v>54.04</v>
      </c>
      <c r="G60" s="216">
        <v>61.76</v>
      </c>
      <c r="H60" s="216">
        <v>67.55</v>
      </c>
      <c r="I60" s="216">
        <v>69.48</v>
      </c>
      <c r="J60" s="216">
        <v>69.48</v>
      </c>
      <c r="K60" s="216">
        <v>65.62</v>
      </c>
      <c r="L60" s="216">
        <v>50.18</v>
      </c>
      <c r="M60" s="216">
        <v>63.69</v>
      </c>
      <c r="N60" s="216">
        <v>63.69</v>
      </c>
      <c r="O60" s="217">
        <v>752.7</v>
      </c>
    </row>
    <row r="61" spans="1:15" ht="12.75">
      <c r="A61" s="176"/>
      <c r="B61" s="126" t="s">
        <v>151</v>
      </c>
      <c r="C61" s="254">
        <v>16.799999999999997</v>
      </c>
      <c r="D61" s="255">
        <v>15.839999999999996</v>
      </c>
      <c r="E61" s="255">
        <v>13.920000000000002</v>
      </c>
      <c r="F61" s="255">
        <v>13.439999999999998</v>
      </c>
      <c r="G61" s="255">
        <v>15.36</v>
      </c>
      <c r="H61" s="255">
        <v>16.799999999999997</v>
      </c>
      <c r="I61" s="255">
        <v>28.440000000000005</v>
      </c>
      <c r="J61" s="255">
        <v>28.440000000000005</v>
      </c>
      <c r="K61" s="255">
        <v>26.860000000000007</v>
      </c>
      <c r="L61" s="255">
        <v>20.540000000000003</v>
      </c>
      <c r="M61" s="255">
        <v>26.07</v>
      </c>
      <c r="N61" s="255">
        <v>26.07</v>
      </c>
      <c r="O61" s="256">
        <v>248.57999999999998</v>
      </c>
    </row>
    <row r="62" spans="1:15" ht="12.75">
      <c r="A62" s="176"/>
      <c r="B62" s="126" t="s">
        <v>152</v>
      </c>
      <c r="C62" s="325">
        <v>0.7571571468543414</v>
      </c>
      <c r="D62" s="326">
        <v>0.6713011849181165</v>
      </c>
      <c r="E62" s="326">
        <v>0.5514000289852483</v>
      </c>
      <c r="F62" s="326">
        <v>0.4965398554544075</v>
      </c>
      <c r="G62" s="326">
        <v>0.5208561689480625</v>
      </c>
      <c r="H62" s="326">
        <v>0.5235718896302978</v>
      </c>
      <c r="I62" s="326">
        <v>0.8059064697202776</v>
      </c>
      <c r="J62" s="326">
        <v>0.722886141008449</v>
      </c>
      <c r="K62" s="326">
        <v>0.6169074257581724</v>
      </c>
      <c r="L62" s="326">
        <v>0.41042229390634366</v>
      </c>
      <c r="M62" s="326">
        <v>0.4501547075294271</v>
      </c>
      <c r="N62" s="326">
        <v>0.3750461436057422</v>
      </c>
      <c r="O62" s="327">
        <v>6.902149456318886</v>
      </c>
    </row>
    <row r="63" spans="1:15" ht="12.75">
      <c r="A63" s="176"/>
      <c r="B63" s="126" t="s">
        <v>153</v>
      </c>
      <c r="C63" s="325">
        <v>17.557157146854337</v>
      </c>
      <c r="D63" s="326">
        <v>16.511301184918114</v>
      </c>
      <c r="E63" s="326">
        <v>14.47140002898525</v>
      </c>
      <c r="F63" s="326">
        <v>13.936539855454406</v>
      </c>
      <c r="G63" s="326">
        <v>15.880856168948062</v>
      </c>
      <c r="H63" s="326">
        <v>17.323571889630294</v>
      </c>
      <c r="I63" s="326">
        <v>29.245906469720282</v>
      </c>
      <c r="J63" s="326">
        <v>29.162886141008453</v>
      </c>
      <c r="K63" s="326">
        <v>27.476907425758178</v>
      </c>
      <c r="L63" s="326">
        <v>20.950422293906346</v>
      </c>
      <c r="M63" s="326">
        <v>26.52015470752943</v>
      </c>
      <c r="N63" s="326">
        <v>26.445046143605744</v>
      </c>
      <c r="O63" s="327">
        <v>255.4821494563189</v>
      </c>
    </row>
    <row r="64" spans="1:15" ht="12.75">
      <c r="A64" s="176"/>
      <c r="B64" s="126" t="s">
        <v>199</v>
      </c>
      <c r="C64" s="325">
        <v>50.75</v>
      </c>
      <c r="D64" s="326">
        <v>47.85</v>
      </c>
      <c r="E64" s="326">
        <v>42.05</v>
      </c>
      <c r="F64" s="326">
        <v>40.6</v>
      </c>
      <c r="G64" s="326">
        <v>46.4</v>
      </c>
      <c r="H64" s="326">
        <v>50.75</v>
      </c>
      <c r="I64" s="326">
        <v>41.04</v>
      </c>
      <c r="J64" s="326">
        <v>41.04</v>
      </c>
      <c r="K64" s="326">
        <v>38.76</v>
      </c>
      <c r="L64" s="326">
        <v>29.639999999999997</v>
      </c>
      <c r="M64" s="326">
        <v>37.62</v>
      </c>
      <c r="N64" s="326">
        <v>37.62</v>
      </c>
      <c r="O64" s="327">
        <v>504.12</v>
      </c>
    </row>
    <row r="65" spans="1:15" ht="12.75">
      <c r="A65" s="177" t="s">
        <v>204</v>
      </c>
      <c r="B65" s="177" t="s">
        <v>240</v>
      </c>
      <c r="C65" s="215">
        <v>175.63</v>
      </c>
      <c r="D65" s="216">
        <v>162.12</v>
      </c>
      <c r="E65" s="216">
        <v>158.26</v>
      </c>
      <c r="F65" s="216">
        <v>181.42</v>
      </c>
      <c r="G65" s="216">
        <v>239.32</v>
      </c>
      <c r="H65" s="216">
        <v>283.71</v>
      </c>
      <c r="I65" s="216">
        <v>283.71</v>
      </c>
      <c r="J65" s="216">
        <v>299.15</v>
      </c>
      <c r="K65" s="216">
        <v>283.71</v>
      </c>
      <c r="L65" s="216">
        <v>177.56</v>
      </c>
      <c r="M65" s="216">
        <v>164.04999999999998</v>
      </c>
      <c r="N65" s="216">
        <v>171.76999999999998</v>
      </c>
      <c r="O65" s="217">
        <v>2580.4100000000003</v>
      </c>
    </row>
    <row r="66" spans="1:15" ht="12.75">
      <c r="A66" s="176"/>
      <c r="B66" s="126" t="s">
        <v>151</v>
      </c>
      <c r="C66" s="254">
        <v>43.68000000000001</v>
      </c>
      <c r="D66" s="255">
        <v>40.32000000000001</v>
      </c>
      <c r="E66" s="255">
        <v>39.36</v>
      </c>
      <c r="F66" s="255">
        <v>45.120000000000005</v>
      </c>
      <c r="G66" s="255">
        <v>59.52000000000001</v>
      </c>
      <c r="H66" s="255">
        <v>70.55999999999997</v>
      </c>
      <c r="I66" s="255">
        <v>116.13</v>
      </c>
      <c r="J66" s="255">
        <v>122.44999999999999</v>
      </c>
      <c r="K66" s="255">
        <v>116.13</v>
      </c>
      <c r="L66" s="255">
        <v>72.68</v>
      </c>
      <c r="M66" s="255">
        <v>67.14999999999999</v>
      </c>
      <c r="N66" s="255">
        <v>70.30999999999999</v>
      </c>
      <c r="O66" s="256">
        <v>863.41</v>
      </c>
    </row>
    <row r="67" spans="1:15" ht="12.75">
      <c r="A67" s="176"/>
      <c r="B67" s="126" t="s">
        <v>152</v>
      </c>
      <c r="C67" s="254">
        <v>1.9686085818212886</v>
      </c>
      <c r="D67" s="255">
        <v>1.7087666525188427</v>
      </c>
      <c r="E67" s="255">
        <v>1.5591311164410468</v>
      </c>
      <c r="F67" s="255">
        <v>1.6669552290255114</v>
      </c>
      <c r="G67" s="255">
        <v>2.0183176546737425</v>
      </c>
      <c r="H67" s="255">
        <v>2.1990019364472504</v>
      </c>
      <c r="I67" s="255">
        <v>3.2907847513577995</v>
      </c>
      <c r="J67" s="255">
        <v>3.1124264404530435</v>
      </c>
      <c r="K67" s="255">
        <v>2.667217399601509</v>
      </c>
      <c r="L67" s="255">
        <v>1.4522635015147543</v>
      </c>
      <c r="M67" s="255">
        <v>1.1594893981818575</v>
      </c>
      <c r="N67" s="255">
        <v>1.0114880842700318</v>
      </c>
      <c r="O67" s="256">
        <v>23.814450746306676</v>
      </c>
    </row>
    <row r="68" spans="1:15" ht="12.75">
      <c r="A68" s="176"/>
      <c r="B68" s="126" t="s">
        <v>153</v>
      </c>
      <c r="C68" s="254">
        <v>45.64860858182129</v>
      </c>
      <c r="D68" s="255">
        <v>42.02876665251885</v>
      </c>
      <c r="E68" s="255">
        <v>40.919131116441044</v>
      </c>
      <c r="F68" s="255">
        <v>46.786955229025516</v>
      </c>
      <c r="G68" s="255">
        <v>61.538317654673754</v>
      </c>
      <c r="H68" s="255">
        <v>72.75900193644722</v>
      </c>
      <c r="I68" s="255">
        <v>119.4207847513578</v>
      </c>
      <c r="J68" s="255">
        <v>125.56242644045304</v>
      </c>
      <c r="K68" s="255">
        <v>118.79721739960151</v>
      </c>
      <c r="L68" s="255">
        <v>74.13226350151476</v>
      </c>
      <c r="M68" s="255">
        <v>68.30948939818185</v>
      </c>
      <c r="N68" s="255">
        <v>71.32148808427002</v>
      </c>
      <c r="O68" s="256">
        <v>887.2244507463067</v>
      </c>
    </row>
    <row r="69" spans="1:15" ht="12.75">
      <c r="A69" s="176"/>
      <c r="B69" s="126" t="s">
        <v>199</v>
      </c>
      <c r="C69" s="254">
        <v>131.95</v>
      </c>
      <c r="D69" s="255">
        <v>121.8</v>
      </c>
      <c r="E69" s="255">
        <v>118.89999999999999</v>
      </c>
      <c r="F69" s="255">
        <v>136.29999999999998</v>
      </c>
      <c r="G69" s="255">
        <v>179.79999999999998</v>
      </c>
      <c r="H69" s="255">
        <v>213.15</v>
      </c>
      <c r="I69" s="255">
        <v>167.57999999999998</v>
      </c>
      <c r="J69" s="255">
        <v>176.7</v>
      </c>
      <c r="K69" s="255">
        <v>167.57999999999998</v>
      </c>
      <c r="L69" s="255">
        <v>104.88</v>
      </c>
      <c r="M69" s="255">
        <v>96.89999999999999</v>
      </c>
      <c r="N69" s="255">
        <v>101.46</v>
      </c>
      <c r="O69" s="256">
        <v>1717</v>
      </c>
    </row>
    <row r="70" spans="1:15" ht="12.75">
      <c r="A70" s="177" t="s">
        <v>205</v>
      </c>
      <c r="B70" s="177" t="s">
        <v>240</v>
      </c>
      <c r="C70" s="215">
        <v>19.3</v>
      </c>
      <c r="D70" s="216">
        <v>17.37</v>
      </c>
      <c r="E70" s="216">
        <v>19.3</v>
      </c>
      <c r="F70" s="216">
        <v>21.23</v>
      </c>
      <c r="G70" s="216">
        <v>28.95</v>
      </c>
      <c r="H70" s="216">
        <v>25.09</v>
      </c>
      <c r="I70" s="216">
        <v>28.95</v>
      </c>
      <c r="J70" s="216">
        <v>28.95</v>
      </c>
      <c r="K70" s="216">
        <v>28.95</v>
      </c>
      <c r="L70" s="216">
        <v>25.09</v>
      </c>
      <c r="M70" s="216">
        <v>17.37</v>
      </c>
      <c r="N70" s="216">
        <v>21.23</v>
      </c>
      <c r="O70" s="217">
        <v>281.78</v>
      </c>
    </row>
    <row r="71" spans="1:15" ht="12.75">
      <c r="A71" s="176"/>
      <c r="B71" s="126" t="s">
        <v>151</v>
      </c>
      <c r="C71" s="254">
        <v>4.800000000000001</v>
      </c>
      <c r="D71" s="255">
        <v>4.320000000000002</v>
      </c>
      <c r="E71" s="255">
        <v>4.800000000000001</v>
      </c>
      <c r="F71" s="255">
        <v>5.280000000000001</v>
      </c>
      <c r="G71" s="255">
        <v>7.199999999999999</v>
      </c>
      <c r="H71" s="255">
        <v>6.240000000000002</v>
      </c>
      <c r="I71" s="255">
        <v>11.850000000000001</v>
      </c>
      <c r="J71" s="255">
        <v>11.850000000000001</v>
      </c>
      <c r="K71" s="255">
        <v>11.850000000000001</v>
      </c>
      <c r="L71" s="255">
        <v>10.270000000000001</v>
      </c>
      <c r="M71" s="255">
        <v>7.110000000000001</v>
      </c>
      <c r="N71" s="255">
        <v>8.690000000000001</v>
      </c>
      <c r="O71" s="256">
        <v>94.25999999999999</v>
      </c>
    </row>
    <row r="72" spans="1:15" ht="12.75">
      <c r="A72" s="176"/>
      <c r="B72" s="126" t="s">
        <v>152</v>
      </c>
      <c r="C72" s="254">
        <v>0.21633061338695478</v>
      </c>
      <c r="D72" s="255">
        <v>0.18308214134130463</v>
      </c>
      <c r="E72" s="255">
        <v>0.19013794102939596</v>
      </c>
      <c r="F72" s="255">
        <v>0.19506922892851727</v>
      </c>
      <c r="G72" s="255">
        <v>0.2441513291944043</v>
      </c>
      <c r="H72" s="255">
        <v>0.19446955900553928</v>
      </c>
      <c r="I72" s="255">
        <v>0.33579436238344895</v>
      </c>
      <c r="J72" s="255">
        <v>0.30120255875352037</v>
      </c>
      <c r="K72" s="255">
        <v>0.2721650407756642</v>
      </c>
      <c r="L72" s="255">
        <v>0.20521114695317183</v>
      </c>
      <c r="M72" s="255">
        <v>0.12276946568984377</v>
      </c>
      <c r="N72" s="255">
        <v>0.12501538120191408</v>
      </c>
      <c r="O72" s="256">
        <v>2.585398768643679</v>
      </c>
    </row>
    <row r="73" spans="1:15" ht="12.75">
      <c r="A73" s="176"/>
      <c r="B73" s="126" t="s">
        <v>153</v>
      </c>
      <c r="C73" s="254">
        <v>5.016330613386955</v>
      </c>
      <c r="D73" s="255">
        <v>4.503082141341307</v>
      </c>
      <c r="E73" s="255">
        <v>4.9901379410293965</v>
      </c>
      <c r="F73" s="255">
        <v>5.475069228928518</v>
      </c>
      <c r="G73" s="255">
        <v>7.444151329194404</v>
      </c>
      <c r="H73" s="255">
        <v>6.434469559005541</v>
      </c>
      <c r="I73" s="255">
        <v>12.18579436238345</v>
      </c>
      <c r="J73" s="255">
        <v>12.151202558753521</v>
      </c>
      <c r="K73" s="255">
        <v>12.122165040775666</v>
      </c>
      <c r="L73" s="255">
        <v>10.475211146953173</v>
      </c>
      <c r="M73" s="255">
        <v>7.232769465689845</v>
      </c>
      <c r="N73" s="255">
        <v>8.815015381201915</v>
      </c>
      <c r="O73" s="256">
        <v>96.84539876864369</v>
      </c>
    </row>
    <row r="74" spans="1:15" ht="12.75">
      <c r="A74" s="176"/>
      <c r="B74" s="126" t="s">
        <v>199</v>
      </c>
      <c r="C74" s="254">
        <v>14.5</v>
      </c>
      <c r="D74" s="255">
        <v>13.049999999999999</v>
      </c>
      <c r="E74" s="255">
        <v>14.5</v>
      </c>
      <c r="F74" s="255">
        <v>15.95</v>
      </c>
      <c r="G74" s="255">
        <v>21.75</v>
      </c>
      <c r="H74" s="255">
        <v>18.849999999999998</v>
      </c>
      <c r="I74" s="255">
        <v>17.099999999999998</v>
      </c>
      <c r="J74" s="255">
        <v>17.099999999999998</v>
      </c>
      <c r="K74" s="255">
        <v>17.099999999999998</v>
      </c>
      <c r="L74" s="255">
        <v>14.819999999999999</v>
      </c>
      <c r="M74" s="255">
        <v>10.26</v>
      </c>
      <c r="N74" s="255">
        <v>12.54</v>
      </c>
      <c r="O74" s="256">
        <v>187.51999999999995</v>
      </c>
    </row>
    <row r="75" spans="1:15" ht="12.75">
      <c r="A75" s="177" t="s">
        <v>206</v>
      </c>
      <c r="B75" s="177" t="s">
        <v>240</v>
      </c>
      <c r="C75" s="215">
        <v>44.39</v>
      </c>
      <c r="D75" s="216">
        <v>44.39</v>
      </c>
      <c r="E75" s="216">
        <v>42.46</v>
      </c>
      <c r="F75" s="216">
        <v>50.18</v>
      </c>
      <c r="G75" s="216">
        <v>69.48</v>
      </c>
      <c r="H75" s="216">
        <v>81.06</v>
      </c>
      <c r="I75" s="216">
        <v>81.06</v>
      </c>
      <c r="J75" s="216">
        <v>121.58999999999999</v>
      </c>
      <c r="K75" s="216">
        <v>77.2</v>
      </c>
      <c r="L75" s="216">
        <v>46.32</v>
      </c>
      <c r="M75" s="216">
        <v>36.67</v>
      </c>
      <c r="N75" s="216">
        <v>42.46</v>
      </c>
      <c r="O75" s="217">
        <v>737.2600000000001</v>
      </c>
    </row>
    <row r="76" spans="1:15" ht="12.75">
      <c r="A76" s="176"/>
      <c r="B76" s="126" t="s">
        <v>151</v>
      </c>
      <c r="C76" s="254">
        <v>11.04</v>
      </c>
      <c r="D76" s="255">
        <v>11.04</v>
      </c>
      <c r="E76" s="255">
        <v>10.560000000000002</v>
      </c>
      <c r="F76" s="255">
        <v>12.480000000000004</v>
      </c>
      <c r="G76" s="255">
        <v>17.28000000000001</v>
      </c>
      <c r="H76" s="255">
        <v>20.160000000000004</v>
      </c>
      <c r="I76" s="255">
        <v>33.18000000000001</v>
      </c>
      <c r="J76" s="255">
        <v>49.769999999999996</v>
      </c>
      <c r="K76" s="255">
        <v>31.60000000000001</v>
      </c>
      <c r="L76" s="255">
        <v>18.96</v>
      </c>
      <c r="M76" s="255">
        <v>15.010000000000005</v>
      </c>
      <c r="N76" s="255">
        <v>17.380000000000003</v>
      </c>
      <c r="O76" s="256">
        <v>248.46000000000004</v>
      </c>
    </row>
    <row r="77" spans="1:15" ht="12.75">
      <c r="A77" s="176"/>
      <c r="B77" s="126" t="s">
        <v>152</v>
      </c>
      <c r="C77" s="254">
        <v>0.49756041078999586</v>
      </c>
      <c r="D77" s="255">
        <v>0.4678765834277783</v>
      </c>
      <c r="E77" s="255">
        <v>0.4183034702646712</v>
      </c>
      <c r="F77" s="255">
        <v>0.46107272292195006</v>
      </c>
      <c r="G77" s="255">
        <v>0.5859631900665705</v>
      </c>
      <c r="H77" s="255">
        <v>0.6282862675563574</v>
      </c>
      <c r="I77" s="255">
        <v>0.9402242146736572</v>
      </c>
      <c r="J77" s="255">
        <v>1.2650507467647853</v>
      </c>
      <c r="K77" s="255">
        <v>0.7257734420684381</v>
      </c>
      <c r="L77" s="255">
        <v>0.3788513482212402</v>
      </c>
      <c r="M77" s="255">
        <v>0.25917998312300355</v>
      </c>
      <c r="N77" s="255">
        <v>0.25003076240382816</v>
      </c>
      <c r="O77" s="256">
        <v>6.878173142282276</v>
      </c>
    </row>
    <row r="78" spans="1:15" ht="12.75">
      <c r="A78" s="176"/>
      <c r="B78" s="126" t="s">
        <v>153</v>
      </c>
      <c r="C78" s="254">
        <v>11.537560410789995</v>
      </c>
      <c r="D78" s="255">
        <v>11.507876583427777</v>
      </c>
      <c r="E78" s="255">
        <v>10.978303470264674</v>
      </c>
      <c r="F78" s="255">
        <v>12.941072722921954</v>
      </c>
      <c r="G78" s="255">
        <v>17.86596319006658</v>
      </c>
      <c r="H78" s="255">
        <v>20.788286267556362</v>
      </c>
      <c r="I78" s="255">
        <v>34.12022421467366</v>
      </c>
      <c r="J78" s="255">
        <v>51.03505074676478</v>
      </c>
      <c r="K78" s="255">
        <v>32.325773442068446</v>
      </c>
      <c r="L78" s="255">
        <v>19.33885134822124</v>
      </c>
      <c r="M78" s="255">
        <v>15.269179983123008</v>
      </c>
      <c r="N78" s="255">
        <v>17.63003076240383</v>
      </c>
      <c r="O78" s="256">
        <v>255.3381731422823</v>
      </c>
    </row>
    <row r="79" spans="1:15" ht="12.75">
      <c r="A79" s="176"/>
      <c r="B79" s="126" t="s">
        <v>199</v>
      </c>
      <c r="C79" s="254">
        <v>33.35</v>
      </c>
      <c r="D79" s="255">
        <v>33.35</v>
      </c>
      <c r="E79" s="255">
        <v>31.9</v>
      </c>
      <c r="F79" s="255">
        <v>37.699999999999996</v>
      </c>
      <c r="G79" s="255">
        <v>52.199999999999996</v>
      </c>
      <c r="H79" s="255">
        <v>60.9</v>
      </c>
      <c r="I79" s="255">
        <v>47.879999999999995</v>
      </c>
      <c r="J79" s="255">
        <v>71.82</v>
      </c>
      <c r="K79" s="255">
        <v>45.599999999999994</v>
      </c>
      <c r="L79" s="255">
        <v>27.36</v>
      </c>
      <c r="M79" s="255">
        <v>21.659999999999997</v>
      </c>
      <c r="N79" s="255">
        <v>25.08</v>
      </c>
      <c r="O79" s="256">
        <v>488.7999999999999</v>
      </c>
    </row>
    <row r="80" spans="1:15" ht="12.75">
      <c r="A80" s="177" t="s">
        <v>207</v>
      </c>
      <c r="B80" s="177" t="s">
        <v>240</v>
      </c>
      <c r="C80" s="215">
        <v>81.06</v>
      </c>
      <c r="D80" s="216">
        <v>77.2</v>
      </c>
      <c r="E80" s="216">
        <v>71.41</v>
      </c>
      <c r="F80" s="216">
        <v>81.06</v>
      </c>
      <c r="G80" s="216">
        <v>104.22</v>
      </c>
      <c r="H80" s="216">
        <v>108.08</v>
      </c>
      <c r="I80" s="216">
        <v>117.72999999999999</v>
      </c>
      <c r="J80" s="216">
        <v>113.86999999999999</v>
      </c>
      <c r="K80" s="216">
        <v>104.22</v>
      </c>
      <c r="L80" s="216">
        <v>81.06</v>
      </c>
      <c r="M80" s="216">
        <v>73.34</v>
      </c>
      <c r="N80" s="216">
        <v>82.99</v>
      </c>
      <c r="O80" s="217">
        <v>1096.24</v>
      </c>
    </row>
    <row r="81" spans="1:15" ht="12.75">
      <c r="A81" s="176"/>
      <c r="B81" s="126" t="s">
        <v>151</v>
      </c>
      <c r="C81" s="254">
        <v>20.160000000000004</v>
      </c>
      <c r="D81" s="255">
        <v>19.200000000000003</v>
      </c>
      <c r="E81" s="255">
        <v>17.759999999999998</v>
      </c>
      <c r="F81" s="255">
        <v>20.160000000000004</v>
      </c>
      <c r="G81" s="255">
        <v>25.92</v>
      </c>
      <c r="H81" s="255">
        <v>26.879999999999995</v>
      </c>
      <c r="I81" s="255">
        <v>48.19</v>
      </c>
      <c r="J81" s="255">
        <v>46.61</v>
      </c>
      <c r="K81" s="255">
        <v>42.660000000000004</v>
      </c>
      <c r="L81" s="255">
        <v>33.18000000000001</v>
      </c>
      <c r="M81" s="255">
        <v>30.02000000000001</v>
      </c>
      <c r="N81" s="255">
        <v>33.97</v>
      </c>
      <c r="O81" s="256">
        <v>364.71000000000004</v>
      </c>
    </row>
    <row r="82" spans="1:15" ht="12.75">
      <c r="A82" s="176"/>
      <c r="B82" s="126" t="s">
        <v>152</v>
      </c>
      <c r="C82" s="254">
        <v>0.9085885762252099</v>
      </c>
      <c r="D82" s="255">
        <v>0.8136984059613537</v>
      </c>
      <c r="E82" s="255">
        <v>0.7035103818087649</v>
      </c>
      <c r="F82" s="255">
        <v>0.7448097831816115</v>
      </c>
      <c r="G82" s="255">
        <v>0.8789447850998554</v>
      </c>
      <c r="H82" s="255">
        <v>0.8377150234084764</v>
      </c>
      <c r="I82" s="255">
        <v>1.365563740359359</v>
      </c>
      <c r="J82" s="255">
        <v>1.1847300644305132</v>
      </c>
      <c r="K82" s="255">
        <v>0.9797941467923912</v>
      </c>
      <c r="L82" s="255">
        <v>0.6629898593871706</v>
      </c>
      <c r="M82" s="255">
        <v>0.5183599662460071</v>
      </c>
      <c r="N82" s="255">
        <v>0.4886964901529368</v>
      </c>
      <c r="O82" s="256">
        <v>10.08740122305365</v>
      </c>
    </row>
    <row r="83" spans="1:15" ht="12.75">
      <c r="A83" s="176"/>
      <c r="B83" s="126" t="s">
        <v>153</v>
      </c>
      <c r="C83" s="254">
        <v>21.068588576225213</v>
      </c>
      <c r="D83" s="255">
        <v>20.013698405961357</v>
      </c>
      <c r="E83" s="255">
        <v>18.463510381808764</v>
      </c>
      <c r="F83" s="255">
        <v>20.904809783181616</v>
      </c>
      <c r="G83" s="255">
        <v>26.798944785099856</v>
      </c>
      <c r="H83" s="255">
        <v>27.717715023408473</v>
      </c>
      <c r="I83" s="255">
        <v>49.555563740359354</v>
      </c>
      <c r="J83" s="255">
        <v>47.79473006443051</v>
      </c>
      <c r="K83" s="255">
        <v>43.6397941467924</v>
      </c>
      <c r="L83" s="255">
        <v>33.842989859387174</v>
      </c>
      <c r="M83" s="255">
        <v>30.538359966246016</v>
      </c>
      <c r="N83" s="255">
        <v>34.45869649015294</v>
      </c>
      <c r="O83" s="256">
        <v>374.7974012230536</v>
      </c>
    </row>
    <row r="84" spans="1:15" ht="12.75">
      <c r="A84" s="176"/>
      <c r="B84" s="126" t="s">
        <v>199</v>
      </c>
      <c r="C84" s="254">
        <v>60.9</v>
      </c>
      <c r="D84" s="255">
        <v>58</v>
      </c>
      <c r="E84" s="255">
        <v>53.65</v>
      </c>
      <c r="F84" s="255">
        <v>60.9</v>
      </c>
      <c r="G84" s="255">
        <v>78.3</v>
      </c>
      <c r="H84" s="255">
        <v>81.2</v>
      </c>
      <c r="I84" s="255">
        <v>69.53999999999999</v>
      </c>
      <c r="J84" s="255">
        <v>67.25999999999999</v>
      </c>
      <c r="K84" s="255">
        <v>61.559999999999995</v>
      </c>
      <c r="L84" s="255">
        <v>47.879999999999995</v>
      </c>
      <c r="M84" s="255">
        <v>43.31999999999999</v>
      </c>
      <c r="N84" s="255">
        <v>49.019999999999996</v>
      </c>
      <c r="O84" s="256">
        <v>731.53</v>
      </c>
    </row>
    <row r="85" spans="1:15" ht="12.75">
      <c r="A85" s="177" t="s">
        <v>241</v>
      </c>
      <c r="B85" s="123"/>
      <c r="C85" s="215">
        <v>14155.584999999995</v>
      </c>
      <c r="D85" s="216">
        <v>13329.545</v>
      </c>
      <c r="E85" s="216">
        <v>12032.584999999997</v>
      </c>
      <c r="F85" s="216">
        <v>13429.905</v>
      </c>
      <c r="G85" s="216">
        <v>17313.065</v>
      </c>
      <c r="H85" s="216">
        <v>19951.375000000004</v>
      </c>
      <c r="I85" s="216">
        <v>20329.655</v>
      </c>
      <c r="J85" s="216">
        <v>20458.965</v>
      </c>
      <c r="K85" s="216">
        <v>19532.565000000002</v>
      </c>
      <c r="L85" s="216">
        <v>12677.205</v>
      </c>
      <c r="M85" s="216">
        <v>12264.185000000001</v>
      </c>
      <c r="N85" s="216">
        <v>13912.404999999999</v>
      </c>
      <c r="O85" s="217">
        <v>189387.04</v>
      </c>
    </row>
    <row r="86" spans="1:15" ht="12.75">
      <c r="A86" s="177" t="s">
        <v>154</v>
      </c>
      <c r="B86" s="123"/>
      <c r="C86" s="215">
        <v>3520.5599999999995</v>
      </c>
      <c r="D86" s="216">
        <v>3315.12</v>
      </c>
      <c r="E86" s="216">
        <v>2992.5600000000004</v>
      </c>
      <c r="F86" s="216">
        <v>3340.0799999999995</v>
      </c>
      <c r="G86" s="216">
        <v>4305.839999999999</v>
      </c>
      <c r="H86" s="216">
        <v>4962</v>
      </c>
      <c r="I86" s="216">
        <v>8321.465</v>
      </c>
      <c r="J86" s="216">
        <v>8374.395</v>
      </c>
      <c r="K86" s="216">
        <v>7995.1950000000015</v>
      </c>
      <c r="L86" s="216">
        <v>5189.115000000002</v>
      </c>
      <c r="M86" s="216">
        <v>5020.054999999999</v>
      </c>
      <c r="N86" s="216">
        <v>5694.715000000001</v>
      </c>
      <c r="O86" s="217">
        <v>63031.100000000006</v>
      </c>
    </row>
    <row r="87" spans="1:15" ht="12.75">
      <c r="A87" s="177" t="s">
        <v>155</v>
      </c>
      <c r="B87" s="123"/>
      <c r="C87" s="328">
        <v>158.66768838866193</v>
      </c>
      <c r="D87" s="329">
        <v>140.49520101930221</v>
      </c>
      <c r="E87" s="329">
        <v>118.54149933477689</v>
      </c>
      <c r="F87" s="329">
        <v>123.39902086355339</v>
      </c>
      <c r="G87" s="329">
        <v>146.0106332358936</v>
      </c>
      <c r="H87" s="329">
        <v>154.6406974015201</v>
      </c>
      <c r="I87" s="329">
        <v>235.8059944110706</v>
      </c>
      <c r="J87" s="329">
        <v>212.8598482711128</v>
      </c>
      <c r="K87" s="329">
        <v>183.62975301134065</v>
      </c>
      <c r="L87" s="329">
        <v>103.6868783663007</v>
      </c>
      <c r="M87" s="329">
        <v>86.68206330290133</v>
      </c>
      <c r="N87" s="329">
        <v>81.92485230854523</v>
      </c>
      <c r="O87" s="330">
        <v>1746.3441299149795</v>
      </c>
    </row>
    <row r="88" spans="1:15" ht="12.75">
      <c r="A88" s="177" t="s">
        <v>156</v>
      </c>
      <c r="B88" s="123"/>
      <c r="C88" s="328">
        <v>3679.227688388661</v>
      </c>
      <c r="D88" s="329">
        <v>3455.6152010193014</v>
      </c>
      <c r="E88" s="329">
        <v>3111.1014993347762</v>
      </c>
      <c r="F88" s="329">
        <v>3463.4790208635527</v>
      </c>
      <c r="G88" s="329">
        <v>4451.850633235893</v>
      </c>
      <c r="H88" s="329">
        <v>5116.640697401519</v>
      </c>
      <c r="I88" s="329">
        <v>8557.270994411068</v>
      </c>
      <c r="J88" s="329">
        <v>8587.254848271112</v>
      </c>
      <c r="K88" s="329">
        <v>8178.824753011341</v>
      </c>
      <c r="L88" s="329">
        <v>5292.801878366302</v>
      </c>
      <c r="M88" s="329">
        <v>5106.7370633029</v>
      </c>
      <c r="N88" s="329">
        <v>5776.639852308545</v>
      </c>
      <c r="O88" s="330">
        <v>64777.444129914984</v>
      </c>
    </row>
    <row r="89" spans="1:15" ht="12.75">
      <c r="A89" s="160" t="s">
        <v>211</v>
      </c>
      <c r="B89" s="178"/>
      <c r="C89" s="331">
        <v>10635.025000000001</v>
      </c>
      <c r="D89" s="332">
        <v>10014.425</v>
      </c>
      <c r="E89" s="332">
        <v>9040.024999999998</v>
      </c>
      <c r="F89" s="332">
        <v>10089.825</v>
      </c>
      <c r="G89" s="332">
        <v>13007.224999999999</v>
      </c>
      <c r="H89" s="332">
        <v>14989.375</v>
      </c>
      <c r="I89" s="332">
        <v>12008.19</v>
      </c>
      <c r="J89" s="332">
        <v>12084.570000000003</v>
      </c>
      <c r="K89" s="332">
        <v>11537.369999999999</v>
      </c>
      <c r="L89" s="332">
        <v>7488.089999999998</v>
      </c>
      <c r="M89" s="332">
        <v>7244.129999999999</v>
      </c>
      <c r="N89" s="332">
        <v>8217.689999999999</v>
      </c>
      <c r="O89" s="333">
        <v>126355.94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3"/>
  <sheetViews>
    <sheetView showGridLines="0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215</v>
      </c>
      <c r="C1" s="1"/>
      <c r="D1" s="4"/>
      <c r="E1" s="1"/>
      <c r="F1" s="136" t="s">
        <v>121</v>
      </c>
      <c r="G1" s="137"/>
      <c r="H1" s="138"/>
      <c r="I1" s="139"/>
      <c r="J1" s="144" t="str">
        <f>"True-Up ARR
(CY"&amp;N1&amp;")"</f>
        <v>True-Up ARR
(CY2012)</v>
      </c>
      <c r="K1" s="140" t="str">
        <f>"Projected ARR
(Jul'"&amp;RIGHT(N$1-1,2)&amp;" - Jun'"&amp;RIGHT(N$1,2)&amp;")"</f>
        <v>Projected ARR
(Jul'11 - Jun'12)</v>
      </c>
      <c r="L1" s="248" t="s">
        <v>195</v>
      </c>
      <c r="M1"/>
      <c r="N1" s="268">
        <v>2012</v>
      </c>
    </row>
    <row r="2" spans="2:14" ht="12.75">
      <c r="B2" s="5" t="s">
        <v>202</v>
      </c>
      <c r="C2" s="1"/>
      <c r="D2" s="4"/>
      <c r="E2" s="1"/>
      <c r="F2" s="130">
        <v>9</v>
      </c>
      <c r="G2" s="337" t="s">
        <v>238</v>
      </c>
      <c r="H2" s="337"/>
      <c r="I2" s="252" t="s">
        <v>112</v>
      </c>
      <c r="J2" s="82">
        <v>189124.7910100688</v>
      </c>
      <c r="K2" s="82">
        <v>139250</v>
      </c>
      <c r="L2" s="309" t="s">
        <v>247</v>
      </c>
      <c r="M2"/>
      <c r="N2"/>
    </row>
    <row r="3" spans="2:14" ht="12.75">
      <c r="B3" s="5" t="str">
        <f>"for CY"&amp;N1&amp;" SPP Network Transmission Service"</f>
        <v>for CY2012 SPP Network Transmission Service</v>
      </c>
      <c r="C3" s="1"/>
      <c r="D3" s="4"/>
      <c r="E3" s="1"/>
      <c r="F3" s="130"/>
      <c r="G3" s="337" t="str">
        <f>"of CY"&amp;$N$1</f>
        <v>of CY2012</v>
      </c>
      <c r="H3" s="337"/>
      <c r="I3" s="252" t="s">
        <v>119</v>
      </c>
      <c r="J3" s="84">
        <v>1.93</v>
      </c>
      <c r="K3" s="84">
        <v>1.45</v>
      </c>
      <c r="L3" s="131" t="str">
        <f>"Inv. Jan-Jun'"&amp;RIGHT(N1,2)</f>
        <v>Inv. Jan-Jun'12</v>
      </c>
      <c r="M3"/>
      <c r="N3"/>
    </row>
    <row r="4" spans="2:14" ht="12.75">
      <c r="B4" s="116"/>
      <c r="C4" s="1"/>
      <c r="D4" s="4"/>
      <c r="E4" s="1"/>
      <c r="F4" s="130"/>
      <c r="G4" s="16"/>
      <c r="H4" s="16"/>
      <c r="L4" s="132"/>
      <c r="N4"/>
    </row>
    <row r="5" spans="2:14" ht="12.75">
      <c r="B5" s="116"/>
      <c r="C5" s="1"/>
      <c r="D5" s="4"/>
      <c r="E5" s="1"/>
      <c r="F5" s="130"/>
      <c r="G5" s="16"/>
      <c r="H5" s="16"/>
      <c r="I5" s="252"/>
      <c r="J5" s="16"/>
      <c r="K5" s="81"/>
      <c r="L5" s="132"/>
      <c r="M5" s="257"/>
      <c r="N5" s="26"/>
    </row>
    <row r="6" spans="2:31" ht="34.5" thickBot="1">
      <c r="B6" s="5" t="s">
        <v>147</v>
      </c>
      <c r="D6" s="4"/>
      <c r="E6" s="1"/>
      <c r="F6" s="141" t="s">
        <v>121</v>
      </c>
      <c r="G6" s="142"/>
      <c r="H6" s="143"/>
      <c r="I6" s="253"/>
      <c r="J6" s="144" t="str">
        <f>J1</f>
        <v>True-Up ARR
(CY2012)</v>
      </c>
      <c r="K6" s="144" t="str">
        <f>"Projected ARR
(Jul'"&amp;RIGHT(N$1,2)&amp;" - Jun'"&amp;RIGHT(N$1+1,2)&amp;")"</f>
        <v>Projected ARR
(Jul'12 - Jun'13)</v>
      </c>
      <c r="L6" s="145"/>
      <c r="M6" s="257"/>
      <c r="N6"/>
      <c r="O6" s="36" t="s">
        <v>2</v>
      </c>
      <c r="P6" s="102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8"/>
    </row>
    <row r="7" spans="2:31" ht="12.75">
      <c r="B7" s="116" t="s">
        <v>212</v>
      </c>
      <c r="D7" s="4"/>
      <c r="E7" s="1"/>
      <c r="F7" s="130">
        <v>9</v>
      </c>
      <c r="G7" s="338" t="s">
        <v>239</v>
      </c>
      <c r="H7" s="337"/>
      <c r="I7" s="252" t="s">
        <v>112</v>
      </c>
      <c r="J7" s="293">
        <f>J2</f>
        <v>189124.7910100688</v>
      </c>
      <c r="K7" s="82">
        <v>113636</v>
      </c>
      <c r="L7" s="309" t="s">
        <v>248</v>
      </c>
      <c r="M7" s="284"/>
      <c r="N7"/>
      <c r="O7" s="157" t="s">
        <v>1</v>
      </c>
      <c r="P7" s="103"/>
      <c r="V7" s="26"/>
      <c r="W7" s="156" t="s">
        <v>194</v>
      </c>
      <c r="AE7" s="26"/>
    </row>
    <row r="8" spans="2:31" ht="12.75">
      <c r="B8" s="5"/>
      <c r="C8" s="1"/>
      <c r="D8" s="4"/>
      <c r="E8" s="1"/>
      <c r="F8" s="130"/>
      <c r="G8" s="337" t="str">
        <f>"of CY"&amp;$N$1</f>
        <v>of CY2012</v>
      </c>
      <c r="H8" s="337"/>
      <c r="I8" s="252" t="s">
        <v>119</v>
      </c>
      <c r="J8" s="77">
        <f>J3</f>
        <v>1.93</v>
      </c>
      <c r="K8" s="84">
        <v>1.14</v>
      </c>
      <c r="L8" s="269" t="str">
        <f>"Inv. Jul-Dec'"&amp;RIGHT(N1,2)</f>
        <v>Inv. Jul-Dec'12</v>
      </c>
      <c r="M8"/>
      <c r="N8" s="26"/>
      <c r="O8" s="10">
        <f>DATE(N1,1,1)</f>
        <v>40909</v>
      </c>
      <c r="P8" s="10">
        <f aca="true" t="shared" si="0" ref="P8:V8">DATE(YEAR(O8),MONTH(O8)+3,DAY(O8))</f>
        <v>41000</v>
      </c>
      <c r="Q8" s="10">
        <f t="shared" si="0"/>
        <v>41091</v>
      </c>
      <c r="R8" s="10">
        <f t="shared" si="0"/>
        <v>41183</v>
      </c>
      <c r="S8" s="10">
        <f t="shared" si="0"/>
        <v>41275</v>
      </c>
      <c r="T8" s="10">
        <f t="shared" si="0"/>
        <v>41365</v>
      </c>
      <c r="U8" s="10">
        <f t="shared" si="0"/>
        <v>41456</v>
      </c>
      <c r="V8" s="247">
        <f t="shared" si="0"/>
        <v>41548</v>
      </c>
      <c r="W8" s="173" t="str">
        <f>"7/1/"&amp;N1+1</f>
        <v>7/1/2013</v>
      </c>
      <c r="X8" s="25"/>
      <c r="AE8" s="26"/>
    </row>
    <row r="9" spans="2:31" ht="12.75">
      <c r="B9" s="53"/>
      <c r="C9" s="1"/>
      <c r="D9" s="4"/>
      <c r="E9" s="1"/>
      <c r="F9" s="130"/>
      <c r="G9" s="16"/>
      <c r="H9" s="16"/>
      <c r="I9" s="273"/>
      <c r="J9" s="16"/>
      <c r="L9" s="131"/>
      <c r="M9"/>
      <c r="N9" s="26"/>
      <c r="O9" s="6"/>
      <c r="P9" s="6"/>
      <c r="Q9" s="6"/>
      <c r="R9"/>
      <c r="S9" s="10"/>
      <c r="T9" s="10"/>
      <c r="U9" s="10"/>
      <c r="V9" s="26"/>
      <c r="W9" s="148"/>
      <c r="AE9" s="26"/>
    </row>
    <row r="10" spans="2:31" ht="13.5" thickBot="1">
      <c r="B10" s="116"/>
      <c r="D10"/>
      <c r="E10" s="54"/>
      <c r="F10" s="133"/>
      <c r="G10" s="134"/>
      <c r="H10" s="59"/>
      <c r="I10" s="272"/>
      <c r="J10" s="174"/>
      <c r="K10" s="174"/>
      <c r="L10" s="135"/>
      <c r="N10" s="232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5">
        <v>0.0325</v>
      </c>
      <c r="W10" s="149" t="s">
        <v>3</v>
      </c>
      <c r="X10" s="69"/>
      <c r="Y10" s="72"/>
      <c r="Z10" s="72"/>
      <c r="AE10" s="26"/>
    </row>
    <row r="11" spans="2:31" ht="12.75">
      <c r="B11" s="285" t="s">
        <v>213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6">
        <f t="shared" si="2"/>
        <v>8.904109589041096E-05</v>
      </c>
      <c r="W11" s="150" t="s">
        <v>4</v>
      </c>
      <c r="X11" s="34"/>
      <c r="Y11" s="112"/>
      <c r="Z11" s="112"/>
      <c r="AE11" s="26"/>
    </row>
    <row r="12" spans="5:31" ht="12.75">
      <c r="E12" s="54"/>
      <c r="L12" s="8"/>
      <c r="N12" s="231" t="s">
        <v>210</v>
      </c>
      <c r="O12" s="17">
        <f aca="true" t="shared" si="3" ref="O12:U12">IF($W8-O8&lt;0,0,IF($W8-P8&lt;0,$W8-O8,P8-O8))</f>
        <v>91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7">
        <f>IF($W8-V8&lt;0,0,W8-V8)</f>
        <v>0</v>
      </c>
      <c r="W12" s="151" t="s">
        <v>5</v>
      </c>
      <c r="X12" s="35"/>
      <c r="Y12" s="13"/>
      <c r="Z12" s="13"/>
      <c r="AE12" s="26"/>
    </row>
    <row r="13" spans="5:31" ht="12.75">
      <c r="E13" s="54"/>
      <c r="F13" s="277"/>
      <c r="G13" s="278"/>
      <c r="H13" s="278"/>
      <c r="I13" s="274" t="s">
        <v>208</v>
      </c>
      <c r="J13" s="146">
        <f>SUM(J44:J211)</f>
        <v>43548.51999999998</v>
      </c>
      <c r="K13" s="146">
        <f>SUM(K44:K211)</f>
        <v>29068.17000000001</v>
      </c>
      <c r="L13" s="164">
        <f>SUM(L44:L211)</f>
        <v>14480.350000000006</v>
      </c>
      <c r="M13" s="147">
        <f>SUM(M44:M211)</f>
        <v>400.24472969974835</v>
      </c>
      <c r="N13" s="164">
        <f>SUM(N44:N211)</f>
        <v>14880.59472969975</v>
      </c>
      <c r="O13" s="17"/>
      <c r="P13" s="17"/>
      <c r="Q13" s="17"/>
      <c r="R13" s="17"/>
      <c r="S13" s="17"/>
      <c r="T13" s="17"/>
      <c r="U13" s="17"/>
      <c r="V13" s="107"/>
      <c r="W13" s="163"/>
      <c r="X13" s="13"/>
      <c r="Y13" s="13"/>
      <c r="Z13" s="13"/>
      <c r="AE13" s="26"/>
    </row>
    <row r="14" spans="5:31" ht="12.75">
      <c r="E14" s="54"/>
      <c r="F14" s="83"/>
      <c r="G14" s="83"/>
      <c r="H14" s="83"/>
      <c r="I14" s="276" t="s">
        <v>209</v>
      </c>
      <c r="J14" s="146">
        <f>SUM(J20:J211)</f>
        <v>189387.03999999995</v>
      </c>
      <c r="K14" s="146">
        <f>SUM(K20:K211)</f>
        <v>126355.94</v>
      </c>
      <c r="L14" s="164">
        <f>SUM(L20:L211)</f>
        <v>63031.100000000035</v>
      </c>
      <c r="M14" s="147">
        <f>SUM(M20:M211)</f>
        <v>1746.34412991498</v>
      </c>
      <c r="N14" s="164">
        <f>SUM(N20:N211)</f>
        <v>64777.44412991496</v>
      </c>
      <c r="O14" s="17"/>
      <c r="P14" s="17"/>
      <c r="Q14" s="17"/>
      <c r="R14" s="17"/>
      <c r="S14" s="17"/>
      <c r="T14" s="17"/>
      <c r="U14" s="17"/>
      <c r="V14" s="107"/>
      <c r="W14" s="163"/>
      <c r="X14" s="13"/>
      <c r="Y14" s="13"/>
      <c r="Z14" s="13"/>
      <c r="AE14" s="26"/>
    </row>
    <row r="15" spans="2:31" ht="12.75">
      <c r="B15" s="117" t="s">
        <v>214</v>
      </c>
      <c r="E15" s="292"/>
      <c r="J15" s="7"/>
      <c r="L15" s="8"/>
      <c r="M15" s="27"/>
      <c r="N15" s="165" t="s">
        <v>144</v>
      </c>
      <c r="O15" s="17"/>
      <c r="P15" s="17"/>
      <c r="Q15" s="17"/>
      <c r="R15" s="17"/>
      <c r="S15" s="17"/>
      <c r="T15" s="17"/>
      <c r="U15" s="17"/>
      <c r="V15" s="107"/>
      <c r="W15" s="11"/>
      <c r="AE15" s="26"/>
    </row>
    <row r="16" spans="2:31" ht="12.75">
      <c r="B16" s="175" t="str">
        <f>"** Actual Trued-Up CY"&amp;N1&amp;" Charge reflects "&amp;N1&amp;" True-UP Rate x MW"</f>
        <v>** Actual Trued-Up CY2012 Charge reflects 2012 True-UP Rate x MW</v>
      </c>
      <c r="E16" s="54"/>
      <c r="F16" s="16"/>
      <c r="G16" s="2"/>
      <c r="J16" s="74"/>
      <c r="L16" s="85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7"/>
      <c r="W16" s="11"/>
      <c r="AB16" s="70"/>
      <c r="AC16" s="70"/>
      <c r="AD16" s="70"/>
      <c r="AE16" s="35"/>
    </row>
    <row r="17" spans="2:31" ht="12.75">
      <c r="B17" s="310" t="s">
        <v>249</v>
      </c>
      <c r="E17" s="54"/>
      <c r="I17" s="32"/>
      <c r="J17" s="61"/>
      <c r="K17" s="31"/>
      <c r="L17" s="31"/>
      <c r="M17" s="31"/>
      <c r="N17" s="104"/>
      <c r="O17" s="20"/>
      <c r="P17" s="20"/>
      <c r="Q17" s="20"/>
      <c r="R17" s="20"/>
      <c r="S17" s="20"/>
      <c r="T17" s="20"/>
      <c r="U17" s="20"/>
      <c r="V17" s="21"/>
      <c r="W17" s="152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8"/>
      <c r="W18" s="153"/>
      <c r="X18" s="14"/>
      <c r="Y18" s="14"/>
      <c r="Z18" s="14"/>
      <c r="AA18" s="14"/>
      <c r="AB18" s="14"/>
      <c r="AC18" s="14"/>
      <c r="AD18" s="14"/>
      <c r="AE18" s="335" t="s">
        <v>115</v>
      </c>
    </row>
    <row r="19" spans="2:31" ht="38.25" customHeight="1">
      <c r="B19" s="95" t="s">
        <v>203</v>
      </c>
      <c r="C19" s="96" t="s">
        <v>108</v>
      </c>
      <c r="D19" s="96" t="s">
        <v>109</v>
      </c>
      <c r="E19" s="97" t="s">
        <v>0</v>
      </c>
      <c r="F19" s="101" t="s">
        <v>121</v>
      </c>
      <c r="G19" s="98" t="s">
        <v>6</v>
      </c>
      <c r="H19" s="251" t="s">
        <v>198</v>
      </c>
      <c r="I19" s="251" t="s">
        <v>196</v>
      </c>
      <c r="J19" s="294" t="str">
        <f>"True-Up Charge"</f>
        <v>True-Up Charge</v>
      </c>
      <c r="K19" s="294" t="s">
        <v>197</v>
      </c>
      <c r="L19" s="99" t="s">
        <v>103</v>
      </c>
      <c r="M19" s="100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1Q2012</v>
      </c>
      <c r="P19" s="51" t="str">
        <f t="shared" si="4"/>
        <v>2Q2012</v>
      </c>
      <c r="Q19" s="51" t="str">
        <f t="shared" si="4"/>
        <v>3Q2012</v>
      </c>
      <c r="R19" s="51" t="str">
        <f t="shared" si="4"/>
        <v>4Q2012</v>
      </c>
      <c r="S19" s="51" t="str">
        <f t="shared" si="4"/>
        <v>1Q2013</v>
      </c>
      <c r="T19" s="51" t="str">
        <f t="shared" si="4"/>
        <v>2Q2013</v>
      </c>
      <c r="U19" s="51" t="str">
        <f>IF(MONTH(U8)&lt;4,"1Q",IF(MONTH(U8)&lt;7,"2Q",IF(MONTH(U8)&lt;10,"3Q","4Q")))&amp;YEAR(U8)</f>
        <v>3Q2013</v>
      </c>
      <c r="V19" s="109" t="str">
        <f t="shared" si="4"/>
        <v>4Q2013</v>
      </c>
      <c r="W19" s="33" t="str">
        <f aca="true" t="shared" si="5" ref="W19:AD19">+O19</f>
        <v>1Q2012</v>
      </c>
      <c r="X19" s="12" t="str">
        <f t="shared" si="5"/>
        <v>2Q2012</v>
      </c>
      <c r="Y19" s="12" t="str">
        <f t="shared" si="5"/>
        <v>3Q2012</v>
      </c>
      <c r="Z19" s="12" t="str">
        <f t="shared" si="5"/>
        <v>4Q2012</v>
      </c>
      <c r="AA19" s="12" t="str">
        <f t="shared" si="5"/>
        <v>1Q2013</v>
      </c>
      <c r="AB19" s="12" t="str">
        <f t="shared" si="5"/>
        <v>2Q2013</v>
      </c>
      <c r="AC19" s="12" t="str">
        <f t="shared" si="5"/>
        <v>3Q2013</v>
      </c>
      <c r="AD19" s="12" t="str">
        <f t="shared" si="5"/>
        <v>4Q2013</v>
      </c>
      <c r="AE19" s="336"/>
    </row>
    <row r="20" spans="1:35" s="13" customFormat="1" ht="12.75" customHeight="1">
      <c r="A20" s="16">
        <v>1</v>
      </c>
      <c r="B20" s="15">
        <f>DATE($N$1,A20,1)</f>
        <v>40909</v>
      </c>
      <c r="C20" s="68">
        <f aca="true" t="shared" si="6" ref="C20:C26">IF(WEEKDAY(B21+2)=1,B21+4,IF(WEEKDAY(B21+2)=2,B21+4,IF(WEEKDAY(B21+2)=3,B21+3,IF(WEEKDAY(B21+2)=7,B21+4,(B21+2)))))</f>
        <v>40942</v>
      </c>
      <c r="D20" s="68">
        <f aca="true" t="shared" si="7" ref="D20:D31">IF(WEEKDAY(C20+15)=1,C20+16,IF(WEEKDAY(C20+15)=7,C20+17,(C20+15)))</f>
        <v>40959</v>
      </c>
      <c r="E20" s="122" t="s">
        <v>145</v>
      </c>
      <c r="F20" s="16">
        <v>9</v>
      </c>
      <c r="G20" s="73">
        <v>2565</v>
      </c>
      <c r="H20" s="249">
        <f aca="true" t="shared" si="8" ref="H20:H25">$K$3</f>
        <v>1.45</v>
      </c>
      <c r="I20" s="249">
        <f aca="true" t="shared" si="9" ref="I20:I61">$J$3</f>
        <v>1.93</v>
      </c>
      <c r="J20" s="56">
        <f aca="true" t="shared" si="10" ref="J20:J84">+$G20*I20</f>
        <v>4950.45</v>
      </c>
      <c r="K20" s="57">
        <f aca="true" t="shared" si="11" ref="K20:K33">+$G20*H20</f>
        <v>3719.25</v>
      </c>
      <c r="L20" s="58">
        <f aca="true" t="shared" si="12" ref="L20:L34">+J20-K20</f>
        <v>1231.1999999999998</v>
      </c>
      <c r="M20" s="55">
        <f aca="true" t="shared" si="13" ref="M20:M25">+AE20</f>
        <v>55.488802333753874</v>
      </c>
      <c r="N20" s="29">
        <f>SUM(L20:M20)</f>
        <v>1286.6888023337538</v>
      </c>
      <c r="O20" s="16">
        <f aca="true" t="shared" si="14" ref="O20:R31">IF($D20&lt;O$8,O$12,IF($D20&lt;P$8,P$8-$D20,0))</f>
        <v>41</v>
      </c>
      <c r="P20" s="16">
        <f t="shared" si="14"/>
        <v>91</v>
      </c>
      <c r="Q20" s="16">
        <f t="shared" si="14"/>
        <v>92</v>
      </c>
      <c r="R20" s="16">
        <f t="shared" si="14"/>
        <v>92</v>
      </c>
      <c r="S20" s="16">
        <f aca="true" t="shared" si="15" ref="S20:U25">IF($D20&lt;S$8,S$12,IF($D20&lt;T$8,T$8-$D20,0))</f>
        <v>90</v>
      </c>
      <c r="T20" s="16">
        <f t="shared" si="15"/>
        <v>91</v>
      </c>
      <c r="U20" s="16">
        <f t="shared" si="15"/>
        <v>0</v>
      </c>
      <c r="V20" s="110">
        <f>IF(W$8&lt;V$8,0,IF($D20&lt;V$8,V$12,IF($D20&lt;W$8,W$8-$D20,0)))</f>
        <v>0</v>
      </c>
      <c r="W20" s="154">
        <f>$L20*O$11*O20</f>
        <v>4.494723287671232</v>
      </c>
      <c r="X20" s="63">
        <f>($L20+SUM($W20:W20))*(P$11*P20)</f>
        <v>10.012512723625443</v>
      </c>
      <c r="Y20" s="63">
        <f>($L20+SUM($W20:X20))*(Q$11*Q20)</f>
        <v>10.204560645681578</v>
      </c>
      <c r="Z20" s="63">
        <f>($L20+SUM($W20:Y20))*(R$11*R20)</f>
        <v>10.28815416987497</v>
      </c>
      <c r="AA20" s="63">
        <f>($L20+SUM($W20:Z20))*(S$11*S20)</f>
        <v>10.14694481142067</v>
      </c>
      <c r="AB20" s="63">
        <f>($L20+SUM($W20:AA20))*(T$11*T20)</f>
        <v>10.341906695479985</v>
      </c>
      <c r="AC20" s="63">
        <f>($L20+SUM($W20:AB20))*(U$11*U20)</f>
        <v>0</v>
      </c>
      <c r="AD20" s="63">
        <f>($L20+SUM($W20:AB20))*(V$11*V20)</f>
        <v>0</v>
      </c>
      <c r="AE20" s="113">
        <f aca="true" t="shared" si="16" ref="AE20:AE25">SUM(W20:AD20)</f>
        <v>55.488802333753874</v>
      </c>
      <c r="AI20"/>
    </row>
    <row r="21" spans="1:31" ht="12.75">
      <c r="A21" s="3">
        <v>2</v>
      </c>
      <c r="B21" s="15">
        <f aca="true" t="shared" si="17" ref="B21:B84">DATE($N$1,A21,1)</f>
        <v>40940</v>
      </c>
      <c r="C21" s="68">
        <f t="shared" si="6"/>
        <v>40973</v>
      </c>
      <c r="D21" s="68">
        <f t="shared" si="7"/>
        <v>40988</v>
      </c>
      <c r="E21" s="71" t="s">
        <v>145</v>
      </c>
      <c r="F21" s="3">
        <v>9</v>
      </c>
      <c r="G21" s="73">
        <v>2525</v>
      </c>
      <c r="H21" s="249">
        <f t="shared" si="8"/>
        <v>1.45</v>
      </c>
      <c r="I21" s="249">
        <f t="shared" si="9"/>
        <v>1.93</v>
      </c>
      <c r="J21" s="56">
        <f t="shared" si="10"/>
        <v>4873.25</v>
      </c>
      <c r="K21" s="57">
        <f t="shared" si="11"/>
        <v>3661.25</v>
      </c>
      <c r="L21" s="58">
        <f t="shared" si="12"/>
        <v>1212</v>
      </c>
      <c r="M21" s="55">
        <f t="shared" si="13"/>
        <v>51.364711876310444</v>
      </c>
      <c r="N21" s="29">
        <f>SUM(L21:M21)</f>
        <v>1263.3647118763104</v>
      </c>
      <c r="O21" s="16">
        <f t="shared" si="14"/>
        <v>12</v>
      </c>
      <c r="P21" s="16">
        <f t="shared" si="14"/>
        <v>91</v>
      </c>
      <c r="Q21" s="16">
        <f t="shared" si="14"/>
        <v>92</v>
      </c>
      <c r="R21" s="16">
        <f t="shared" si="14"/>
        <v>92</v>
      </c>
      <c r="S21" s="16">
        <f t="shared" si="15"/>
        <v>90</v>
      </c>
      <c r="T21" s="16">
        <f t="shared" si="15"/>
        <v>91</v>
      </c>
      <c r="U21" s="16">
        <f t="shared" si="15"/>
        <v>0</v>
      </c>
      <c r="V21" s="110">
        <f aca="true" t="shared" si="18" ref="V21:V79">IF(W$8&lt;V$8,0,IF($D21&lt;V$8,V$12,IF($D21&lt;W$8,W$8-$D21,0)))</f>
        <v>0</v>
      </c>
      <c r="W21" s="154">
        <f aca="true" t="shared" si="19" ref="W21:W31">$L21*O$11*O21</f>
        <v>1.295013698630137</v>
      </c>
      <c r="X21" s="63">
        <f>($L21+SUM($W21:W21))*(P$11*P21)</f>
        <v>9.831013706886845</v>
      </c>
      <c r="Y21" s="63">
        <f>($L21+SUM($W21:X21))*(Q$11*Q21)</f>
        <v>10.019580334089028</v>
      </c>
      <c r="Z21" s="63">
        <f>($L21+SUM($W21:Y21))*(R$11*R21)</f>
        <v>10.101658540113483</v>
      </c>
      <c r="AA21" s="63">
        <f>($L21+SUM($W21:Z21))*(S$11*S21)</f>
        <v>9.96300891470734</v>
      </c>
      <c r="AB21" s="63">
        <f>($L21+SUM($W21:AA21))*(T$11*T21)</f>
        <v>10.15443668188361</v>
      </c>
      <c r="AC21" s="63">
        <f>($L21+SUM($W21:AB21))*(U$11*U21)</f>
        <v>0</v>
      </c>
      <c r="AD21" s="63">
        <f>($L21+SUM($W21:AB21))*(V$11*V21)</f>
        <v>0</v>
      </c>
      <c r="AE21" s="114">
        <f t="shared" si="16"/>
        <v>51.364711876310444</v>
      </c>
    </row>
    <row r="22" spans="1:31" ht="12.75">
      <c r="A22" s="3">
        <v>3</v>
      </c>
      <c r="B22" s="15">
        <f t="shared" si="17"/>
        <v>40969</v>
      </c>
      <c r="C22" s="68">
        <f t="shared" si="6"/>
        <v>41003</v>
      </c>
      <c r="D22" s="68">
        <f t="shared" si="7"/>
        <v>41018</v>
      </c>
      <c r="E22" s="71" t="s">
        <v>145</v>
      </c>
      <c r="F22" s="3">
        <v>9</v>
      </c>
      <c r="G22" s="73">
        <v>2459</v>
      </c>
      <c r="H22" s="249">
        <f t="shared" si="8"/>
        <v>1.45</v>
      </c>
      <c r="I22" s="249">
        <f t="shared" si="9"/>
        <v>1.93</v>
      </c>
      <c r="J22" s="56">
        <f t="shared" si="10"/>
        <v>4745.87</v>
      </c>
      <c r="K22" s="57">
        <f t="shared" si="11"/>
        <v>3565.5499999999997</v>
      </c>
      <c r="L22" s="58">
        <f t="shared" si="12"/>
        <v>1180.3200000000002</v>
      </c>
      <c r="M22" s="55">
        <f t="shared" si="13"/>
        <v>46.754919699128465</v>
      </c>
      <c r="N22" s="29">
        <f>SUM(L22:M22)</f>
        <v>1227.0749196991287</v>
      </c>
      <c r="O22" s="16">
        <f>IF($D22&lt;O$8,O$12,IF($D22&lt;P$8,P$8-$D22,0))</f>
        <v>0</v>
      </c>
      <c r="P22" s="16">
        <f>IF($D22&lt;P$8,P$12,IF($D22&lt;Q$8,Q$8-$D22,0))</f>
        <v>73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5"/>
        <v>90</v>
      </c>
      <c r="T22" s="16">
        <f t="shared" si="15"/>
        <v>91</v>
      </c>
      <c r="U22" s="16">
        <f t="shared" si="15"/>
        <v>0</v>
      </c>
      <c r="V22" s="110">
        <f>IF(W$8&lt;V$8,0,IF($D22&lt;V$8,V$12,IF($D22&lt;W$8,W$8-$D22,0)))</f>
        <v>0</v>
      </c>
      <c r="W22" s="154">
        <f>$L22*O$11*O22</f>
        <v>0</v>
      </c>
      <c r="X22" s="63">
        <f>($L22+SUM($W22:W22))*(P$11*P22)</f>
        <v>7.672080000000001</v>
      </c>
      <c r="Y22" s="63">
        <f>($L22+SUM($W22:X22))*(Q$11*Q22)</f>
        <v>9.731770737534248</v>
      </c>
      <c r="Z22" s="63">
        <f>($L22+SUM($W22:Y22))*(R$11*R22)</f>
        <v>9.81149127042528</v>
      </c>
      <c r="AA22" s="63">
        <f>($L22+SUM($W22:Z22))*(S$11*S22)</f>
        <v>9.676824316091183</v>
      </c>
      <c r="AB22" s="63">
        <f>($L22+SUM($W22:AA22))*(T$11*T22)</f>
        <v>9.862753375077755</v>
      </c>
      <c r="AC22" s="63">
        <f>($L22+SUM($W22:AB22))*(U$11*U22)</f>
        <v>0</v>
      </c>
      <c r="AD22" s="63">
        <f>($L22+SUM($W22:AB22))*(V$11*V22)</f>
        <v>0</v>
      </c>
      <c r="AE22" s="114">
        <f t="shared" si="16"/>
        <v>46.754919699128465</v>
      </c>
    </row>
    <row r="23" spans="1:31" ht="12.75">
      <c r="A23" s="16">
        <v>4</v>
      </c>
      <c r="B23" s="15">
        <f t="shared" si="17"/>
        <v>41000</v>
      </c>
      <c r="C23" s="68">
        <f t="shared" si="6"/>
        <v>41032</v>
      </c>
      <c r="D23" s="68">
        <f t="shared" si="7"/>
        <v>41047</v>
      </c>
      <c r="E23" s="71" t="s">
        <v>145</v>
      </c>
      <c r="F23" s="3">
        <v>9</v>
      </c>
      <c r="G23" s="73">
        <v>2807</v>
      </c>
      <c r="H23" s="249">
        <f t="shared" si="8"/>
        <v>1.45</v>
      </c>
      <c r="I23" s="249">
        <f t="shared" si="9"/>
        <v>1.93</v>
      </c>
      <c r="J23" s="56">
        <f t="shared" si="10"/>
        <v>5417.51</v>
      </c>
      <c r="K23" s="57">
        <f t="shared" si="11"/>
        <v>4070.15</v>
      </c>
      <c r="L23" s="58">
        <f t="shared" si="12"/>
        <v>1347.3600000000001</v>
      </c>
      <c r="M23" s="55">
        <f t="shared" si="13"/>
        <v>49.77812050930436</v>
      </c>
      <c r="N23" s="29">
        <f aca="true" t="shared" si="20" ref="N23:N33">SUM(L23:M23)</f>
        <v>1397.1381205093044</v>
      </c>
      <c r="O23" s="16">
        <f t="shared" si="14"/>
        <v>0</v>
      </c>
      <c r="P23" s="16">
        <f t="shared" si="14"/>
        <v>44</v>
      </c>
      <c r="Q23" s="16">
        <f t="shared" si="14"/>
        <v>92</v>
      </c>
      <c r="R23" s="16">
        <f t="shared" si="14"/>
        <v>92</v>
      </c>
      <c r="S23" s="16">
        <f t="shared" si="15"/>
        <v>90</v>
      </c>
      <c r="T23" s="16">
        <f t="shared" si="15"/>
        <v>91</v>
      </c>
      <c r="U23" s="16">
        <f t="shared" si="15"/>
        <v>0</v>
      </c>
      <c r="V23" s="110">
        <f t="shared" si="18"/>
        <v>0</v>
      </c>
      <c r="W23" s="154">
        <f t="shared" si="19"/>
        <v>0</v>
      </c>
      <c r="X23" s="63">
        <f>($L23+SUM($W23:W23))*(P$11*P23)</f>
        <v>5.278698082191781</v>
      </c>
      <c r="Y23" s="63">
        <f>($L23+SUM($W23:X23))*(Q$11*Q23)</f>
        <v>11.080519745933572</v>
      </c>
      <c r="Z23" s="63">
        <f>($L23+SUM($W23:Y23))*(R$11*R23)</f>
        <v>11.17128893508519</v>
      </c>
      <c r="AA23" s="63">
        <f>($L23+SUM($W23:Z23))*(S$11*S23)</f>
        <v>11.017958170636687</v>
      </c>
      <c r="AB23" s="63">
        <f>($L23+SUM($W23:AA23))*(T$11*T23)</f>
        <v>11.229655575457134</v>
      </c>
      <c r="AC23" s="63">
        <f>($L23+SUM($W23:AB23))*(U$11*U23)</f>
        <v>0</v>
      </c>
      <c r="AD23" s="63">
        <f>($L23+SUM($W23:AB23))*(V$11*V23)</f>
        <v>0</v>
      </c>
      <c r="AE23" s="114">
        <f t="shared" si="16"/>
        <v>49.77812050930436</v>
      </c>
    </row>
    <row r="24" spans="1:31" ht="12" customHeight="1">
      <c r="A24" s="3">
        <v>5</v>
      </c>
      <c r="B24" s="15">
        <f t="shared" si="17"/>
        <v>41030</v>
      </c>
      <c r="C24" s="68">
        <f t="shared" si="6"/>
        <v>41065</v>
      </c>
      <c r="D24" s="68">
        <f t="shared" si="7"/>
        <v>41080</v>
      </c>
      <c r="E24" s="30" t="s">
        <v>145</v>
      </c>
      <c r="F24" s="3">
        <v>9</v>
      </c>
      <c r="G24" s="73">
        <v>3576</v>
      </c>
      <c r="H24" s="249">
        <f t="shared" si="8"/>
        <v>1.45</v>
      </c>
      <c r="I24" s="249">
        <f t="shared" si="9"/>
        <v>1.93</v>
      </c>
      <c r="J24" s="56">
        <f t="shared" si="10"/>
        <v>6901.679999999999</v>
      </c>
      <c r="K24" s="57">
        <f t="shared" si="11"/>
        <v>5185.2</v>
      </c>
      <c r="L24" s="58">
        <f t="shared" si="12"/>
        <v>1716.4799999999996</v>
      </c>
      <c r="M24" s="55">
        <f t="shared" si="13"/>
        <v>58.20567687994597</v>
      </c>
      <c r="N24" s="29">
        <f t="shared" si="20"/>
        <v>1774.6856768799455</v>
      </c>
      <c r="O24" s="16">
        <f t="shared" si="14"/>
        <v>0</v>
      </c>
      <c r="P24" s="16">
        <f t="shared" si="14"/>
        <v>11</v>
      </c>
      <c r="Q24" s="16">
        <f t="shared" si="14"/>
        <v>92</v>
      </c>
      <c r="R24" s="16">
        <f t="shared" si="14"/>
        <v>92</v>
      </c>
      <c r="S24" s="16">
        <f t="shared" si="15"/>
        <v>90</v>
      </c>
      <c r="T24" s="16">
        <f t="shared" si="15"/>
        <v>91</v>
      </c>
      <c r="U24" s="16">
        <f t="shared" si="15"/>
        <v>0</v>
      </c>
      <c r="V24" s="110">
        <f t="shared" si="18"/>
        <v>0</v>
      </c>
      <c r="W24" s="154">
        <f t="shared" si="19"/>
        <v>0</v>
      </c>
      <c r="X24" s="63">
        <f>($L24+SUM($W24:W24))*(P$11*P24)</f>
        <v>1.681209863013698</v>
      </c>
      <c r="Y24" s="63">
        <f>($L24+SUM($W24:X24))*(Q$11*Q24)</f>
        <v>14.074800047918929</v>
      </c>
      <c r="Z24" s="63">
        <f>($L24+SUM($W24:Y24))*(R$11*R24)</f>
        <v>14.190097725023799</v>
      </c>
      <c r="AA24" s="63">
        <f>($L24+SUM($W24:Z24))*(S$11*S24)</f>
        <v>13.995332506397729</v>
      </c>
      <c r="AB24" s="63">
        <f>($L24+SUM($W24:AA24))*(T$11*T24)</f>
        <v>14.264236737591812</v>
      </c>
      <c r="AC24" s="63">
        <f>($L24+SUM($W24:AB24))*(U$11*U24)</f>
        <v>0</v>
      </c>
      <c r="AD24" s="63">
        <f>($L24+SUM($W24:AB24))*(V$11*V24)</f>
        <v>0</v>
      </c>
      <c r="AE24" s="114">
        <f t="shared" si="16"/>
        <v>58.20567687994597</v>
      </c>
    </row>
    <row r="25" spans="1:31" ht="12.75">
      <c r="A25" s="3">
        <v>6</v>
      </c>
      <c r="B25" s="15">
        <f t="shared" si="17"/>
        <v>41061</v>
      </c>
      <c r="C25" s="68">
        <f>IF(WEEKDAY(B26+2)=1,B26+4,IF(WEEKDAY(B26+2)=2,B26+4,IF(WEEKDAY(B26+2)=3,B26+3,IF(WEEKDAY(B26+2)=7,B26+4,(B26+2)))))+1</f>
        <v>41095</v>
      </c>
      <c r="D25" s="68">
        <f t="shared" si="7"/>
        <v>41110</v>
      </c>
      <c r="E25" s="30" t="s">
        <v>145</v>
      </c>
      <c r="F25" s="3">
        <v>9</v>
      </c>
      <c r="G25" s="73">
        <v>4120</v>
      </c>
      <c r="H25" s="249">
        <f t="shared" si="8"/>
        <v>1.45</v>
      </c>
      <c r="I25" s="249">
        <f t="shared" si="9"/>
        <v>1.93</v>
      </c>
      <c r="J25" s="56">
        <f t="shared" si="10"/>
        <v>7951.599999999999</v>
      </c>
      <c r="K25" s="57">
        <f t="shared" si="11"/>
        <v>5974</v>
      </c>
      <c r="L25" s="79">
        <f t="shared" si="12"/>
        <v>1977.5999999999995</v>
      </c>
      <c r="M25" s="80">
        <f t="shared" si="13"/>
        <v>61.63189100790933</v>
      </c>
      <c r="N25" s="78">
        <f t="shared" si="20"/>
        <v>2039.2318910079089</v>
      </c>
      <c r="O25" s="16">
        <f t="shared" si="14"/>
        <v>0</v>
      </c>
      <c r="P25" s="16">
        <f t="shared" si="14"/>
        <v>0</v>
      </c>
      <c r="Q25" s="16">
        <f t="shared" si="14"/>
        <v>73</v>
      </c>
      <c r="R25" s="16">
        <f t="shared" si="14"/>
        <v>92</v>
      </c>
      <c r="S25" s="16">
        <f t="shared" si="15"/>
        <v>90</v>
      </c>
      <c r="T25" s="16">
        <f t="shared" si="15"/>
        <v>91</v>
      </c>
      <c r="U25" s="16">
        <f t="shared" si="15"/>
        <v>0</v>
      </c>
      <c r="V25" s="110">
        <f t="shared" si="18"/>
        <v>0</v>
      </c>
      <c r="W25" s="154">
        <f t="shared" si="19"/>
        <v>0</v>
      </c>
      <c r="X25" s="63">
        <f>($L25+SUM($W25:W25))*(P$11*P25)</f>
        <v>0</v>
      </c>
      <c r="Y25" s="63">
        <f>($L25+SUM($W25:X25))*(Q$11*Q25)</f>
        <v>12.854399999999996</v>
      </c>
      <c r="Z25" s="63">
        <f>($L25+SUM($W25:Y25))*(R$11*R25)</f>
        <v>16.30536618082191</v>
      </c>
      <c r="AA25" s="63">
        <f>($L25+SUM($W25:Z25))*(S$11*S25)</f>
        <v>16.081567989257266</v>
      </c>
      <c r="AB25" s="63">
        <f>($L25+SUM($W25:AA25))*(T$11*T25)</f>
        <v>16.390556837830157</v>
      </c>
      <c r="AC25" s="63">
        <f>($L25+SUM($W25:AB25))*(U$11*U25)</f>
        <v>0</v>
      </c>
      <c r="AD25" s="63">
        <f>($L25+SUM($W25:AB25))*(V$11*V25)</f>
        <v>0</v>
      </c>
      <c r="AE25" s="114">
        <f t="shared" si="16"/>
        <v>61.63189100790933</v>
      </c>
    </row>
    <row r="26" spans="1:31" ht="12.75">
      <c r="A26" s="16">
        <v>7</v>
      </c>
      <c r="B26" s="15">
        <f t="shared" si="17"/>
        <v>41091</v>
      </c>
      <c r="C26" s="68">
        <f t="shared" si="6"/>
        <v>41124</v>
      </c>
      <c r="D26" s="68">
        <f t="shared" si="7"/>
        <v>41141</v>
      </c>
      <c r="E26" s="30" t="s">
        <v>145</v>
      </c>
      <c r="F26" s="3">
        <v>9</v>
      </c>
      <c r="G26" s="73">
        <v>4290</v>
      </c>
      <c r="H26" s="249">
        <f aca="true" t="shared" si="21" ref="H26:H31">$K$8</f>
        <v>1.14</v>
      </c>
      <c r="I26" s="249">
        <f aca="true" t="shared" si="22" ref="I26:I31">J$8</f>
        <v>1.93</v>
      </c>
      <c r="J26" s="56">
        <f t="shared" si="10"/>
        <v>8279.699999999999</v>
      </c>
      <c r="K26" s="57">
        <f t="shared" si="11"/>
        <v>4890.599999999999</v>
      </c>
      <c r="L26" s="79">
        <f t="shared" si="12"/>
        <v>3389.0999999999995</v>
      </c>
      <c r="M26" s="77">
        <f aca="true" t="shared" si="23" ref="M26:M37">+AE26</f>
        <v>96.03718764166638</v>
      </c>
      <c r="N26" s="78">
        <f t="shared" si="20"/>
        <v>3485.137187641666</v>
      </c>
      <c r="O26" s="16">
        <f t="shared" si="14"/>
        <v>0</v>
      </c>
      <c r="P26" s="16">
        <f t="shared" si="14"/>
        <v>0</v>
      </c>
      <c r="Q26" s="16">
        <f t="shared" si="14"/>
        <v>42</v>
      </c>
      <c r="R26" s="16">
        <f t="shared" si="14"/>
        <v>92</v>
      </c>
      <c r="S26" s="16">
        <f aca="true" t="shared" si="24" ref="S26:U31">IF($D26&lt;S$8,S$12,IF($D26&lt;T$8,T$8-$D26,0))</f>
        <v>90</v>
      </c>
      <c r="T26" s="16">
        <f t="shared" si="24"/>
        <v>91</v>
      </c>
      <c r="U26" s="16">
        <f t="shared" si="24"/>
        <v>0</v>
      </c>
      <c r="V26" s="110">
        <f t="shared" si="18"/>
        <v>0</v>
      </c>
      <c r="W26" s="154">
        <f t="shared" si="19"/>
        <v>0</v>
      </c>
      <c r="X26" s="63">
        <f>($L26+SUM($W26:W26))*(P$11*P26)</f>
        <v>0</v>
      </c>
      <c r="Y26" s="63">
        <f>($L26+SUM($W26:X26))*(Q$11*Q26)</f>
        <v>12.674305479452054</v>
      </c>
      <c r="Z26" s="63">
        <f>($L26+SUM($W26:Y26))*(R$11*R26)</f>
        <v>27.86658951611934</v>
      </c>
      <c r="AA26" s="63">
        <f>($L26+SUM($W26:Z26))*(S$11*S26)</f>
        <v>27.484108542087792</v>
      </c>
      <c r="AB26" s="63">
        <f>($L26+SUM($W26:AA26))*(T$11*T26)</f>
        <v>28.012184104007193</v>
      </c>
      <c r="AC26" s="63">
        <f>($L26+SUM($W26:AB26))*(U$11*U26)</f>
        <v>0</v>
      </c>
      <c r="AD26" s="63">
        <f>($L26+SUM($W26:AB26))*(V$11*V26)</f>
        <v>0</v>
      </c>
      <c r="AE26" s="114">
        <f aca="true" t="shared" si="25" ref="AE26:AE31">SUM(W26:AD26)</f>
        <v>96.03718764166638</v>
      </c>
    </row>
    <row r="27" spans="1:31" ht="12.75">
      <c r="A27" s="3">
        <v>8</v>
      </c>
      <c r="B27" s="15">
        <f t="shared" si="17"/>
        <v>41122</v>
      </c>
      <c r="C27" s="68">
        <f>IF(WEEKDAY(B28+2)=1,B28+4,IF(WEEKDAY(B28+2)=2,B28+4,IF(WEEKDAY(B28+2)=3,B28+3,IF(WEEKDAY(B28+2)=7,B28+4,(B28+2)))))+1</f>
        <v>41158</v>
      </c>
      <c r="D27" s="68">
        <f t="shared" si="7"/>
        <v>41173</v>
      </c>
      <c r="E27" s="30" t="s">
        <v>145</v>
      </c>
      <c r="F27" s="3">
        <v>9</v>
      </c>
      <c r="G27" s="73">
        <v>4427</v>
      </c>
      <c r="H27" s="249">
        <f t="shared" si="21"/>
        <v>1.14</v>
      </c>
      <c r="I27" s="249">
        <f t="shared" si="22"/>
        <v>1.93</v>
      </c>
      <c r="J27" s="56">
        <f t="shared" si="10"/>
        <v>8544.11</v>
      </c>
      <c r="K27" s="57">
        <f t="shared" si="11"/>
        <v>5046.78</v>
      </c>
      <c r="L27" s="79">
        <f t="shared" si="12"/>
        <v>3497.330000000001</v>
      </c>
      <c r="M27" s="77">
        <f t="shared" si="23"/>
        <v>88.89491517345566</v>
      </c>
      <c r="N27" s="78">
        <f t="shared" si="20"/>
        <v>3586.2249151734563</v>
      </c>
      <c r="O27" s="16">
        <f t="shared" si="14"/>
        <v>0</v>
      </c>
      <c r="P27" s="16">
        <f t="shared" si="14"/>
        <v>0</v>
      </c>
      <c r="Q27" s="16">
        <f t="shared" si="14"/>
        <v>10</v>
      </c>
      <c r="R27" s="16">
        <f t="shared" si="14"/>
        <v>92</v>
      </c>
      <c r="S27" s="16">
        <f t="shared" si="24"/>
        <v>90</v>
      </c>
      <c r="T27" s="16">
        <f t="shared" si="24"/>
        <v>91</v>
      </c>
      <c r="U27" s="16">
        <f t="shared" si="24"/>
        <v>0</v>
      </c>
      <c r="V27" s="110">
        <f t="shared" si="18"/>
        <v>0</v>
      </c>
      <c r="W27" s="154">
        <f t="shared" si="19"/>
        <v>0</v>
      </c>
      <c r="X27" s="63">
        <f>($L27+SUM($W27:W27))*(P$11*P27)</f>
        <v>0</v>
      </c>
      <c r="Y27" s="63">
        <f>($L27+SUM($W27:X27))*(Q$11*Q27)</f>
        <v>3.11406095890411</v>
      </c>
      <c r="Z27" s="63">
        <f>($L27+SUM($W27:Y27))*(R$11*R27)</f>
        <v>28.674870526759246</v>
      </c>
      <c r="AA27" s="63">
        <f>($L27+SUM($W27:Z27))*(S$11*S27)</f>
        <v>28.28129554683717</v>
      </c>
      <c r="AB27" s="63">
        <f>($L27+SUM($W27:AA27))*(T$11*T27)</f>
        <v>28.824688140955132</v>
      </c>
      <c r="AC27" s="63">
        <f>($L27+SUM($W27:AB27))*(U$11*U27)</f>
        <v>0</v>
      </c>
      <c r="AD27" s="63">
        <f>($L27+SUM($W27:AB27))*(V$11*V27)</f>
        <v>0</v>
      </c>
      <c r="AE27" s="114">
        <f t="shared" si="25"/>
        <v>88.89491517345566</v>
      </c>
    </row>
    <row r="28" spans="1:31" ht="12.75">
      <c r="A28" s="3">
        <v>9</v>
      </c>
      <c r="B28" s="15">
        <f t="shared" si="17"/>
        <v>41153</v>
      </c>
      <c r="C28" s="68">
        <f>IF(WEEKDAY(B29+2)=1,B29+4,IF(WEEKDAY(B29+2)=2,B29+4,IF(WEEKDAY(B29+2)=3,B29+3,IF(WEEKDAY(B29+2)=7,B29+4,(B29+2)))))</f>
        <v>41185</v>
      </c>
      <c r="D28" s="68">
        <f t="shared" si="7"/>
        <v>41200</v>
      </c>
      <c r="E28" s="30" t="s">
        <v>145</v>
      </c>
      <c r="F28" s="3">
        <v>9</v>
      </c>
      <c r="G28" s="73">
        <v>4128</v>
      </c>
      <c r="H28" s="249">
        <f t="shared" si="21"/>
        <v>1.14</v>
      </c>
      <c r="I28" s="249">
        <f t="shared" si="22"/>
        <v>1.93</v>
      </c>
      <c r="J28" s="56">
        <f t="shared" si="10"/>
        <v>7967.04</v>
      </c>
      <c r="K28" s="57">
        <f t="shared" si="11"/>
        <v>4705.919999999999</v>
      </c>
      <c r="L28" s="79">
        <f t="shared" si="12"/>
        <v>3261.120000000001</v>
      </c>
      <c r="M28" s="77">
        <f t="shared" si="23"/>
        <v>74.8998192214628</v>
      </c>
      <c r="N28" s="78">
        <f t="shared" si="20"/>
        <v>3336.0198192214634</v>
      </c>
      <c r="O28" s="16">
        <f t="shared" si="14"/>
        <v>0</v>
      </c>
      <c r="P28" s="16">
        <f t="shared" si="14"/>
        <v>0</v>
      </c>
      <c r="Q28" s="16">
        <f t="shared" si="14"/>
        <v>0</v>
      </c>
      <c r="R28" s="16">
        <f t="shared" si="14"/>
        <v>75</v>
      </c>
      <c r="S28" s="16">
        <f t="shared" si="24"/>
        <v>90</v>
      </c>
      <c r="T28" s="16">
        <f t="shared" si="24"/>
        <v>91</v>
      </c>
      <c r="U28" s="16">
        <f t="shared" si="24"/>
        <v>0</v>
      </c>
      <c r="V28" s="110">
        <f t="shared" si="18"/>
        <v>0</v>
      </c>
      <c r="W28" s="154">
        <f t="shared" si="19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21.77802739726028</v>
      </c>
      <c r="AA28" s="63">
        <f>($L28+SUM($W28:Z28))*(S$11*S28)</f>
        <v>26.308155425032844</v>
      </c>
      <c r="AB28" s="63">
        <f>($L28+SUM($W28:AA28))*(T$11*T28)</f>
        <v>26.813636399169685</v>
      </c>
      <c r="AC28" s="63">
        <f>($L28+SUM($W28:AB28))*(U$11*U28)</f>
        <v>0</v>
      </c>
      <c r="AD28" s="63">
        <f>($L28+SUM($W28:AB28))*(V$11*V28)</f>
        <v>0</v>
      </c>
      <c r="AE28" s="114">
        <f t="shared" si="25"/>
        <v>74.8998192214628</v>
      </c>
    </row>
    <row r="29" spans="1:31" ht="12.75">
      <c r="A29" s="16">
        <v>10</v>
      </c>
      <c r="B29" s="15">
        <f t="shared" si="17"/>
        <v>41183</v>
      </c>
      <c r="C29" s="68">
        <f>IF(WEEKDAY(B30+2)=1,B30+4,IF(WEEKDAY(B30+2)=2,B30+4,IF(WEEKDAY(B30+2)=3,B30+3,IF(WEEKDAY(B30+2)=7,B30+4,(B30+2)))))</f>
        <v>41218</v>
      </c>
      <c r="D29" s="68">
        <f t="shared" si="7"/>
        <v>41233</v>
      </c>
      <c r="E29" s="30" t="s">
        <v>145</v>
      </c>
      <c r="F29" s="3">
        <v>9</v>
      </c>
      <c r="G29" s="73">
        <v>2607</v>
      </c>
      <c r="H29" s="249">
        <f t="shared" si="21"/>
        <v>1.14</v>
      </c>
      <c r="I29" s="249">
        <f t="shared" si="22"/>
        <v>1.93</v>
      </c>
      <c r="J29" s="56">
        <f t="shared" si="10"/>
        <v>5031.51</v>
      </c>
      <c r="K29" s="57">
        <f t="shared" si="11"/>
        <v>2971.9799999999996</v>
      </c>
      <c r="L29" s="79">
        <f t="shared" si="12"/>
        <v>2059.5300000000007</v>
      </c>
      <c r="M29" s="77">
        <f t="shared" si="23"/>
        <v>41.152727700532225</v>
      </c>
      <c r="N29" s="78">
        <f t="shared" si="20"/>
        <v>2100.6827277005327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42</v>
      </c>
      <c r="S29" s="16">
        <f t="shared" si="24"/>
        <v>90</v>
      </c>
      <c r="T29" s="16">
        <f t="shared" si="24"/>
        <v>91</v>
      </c>
      <c r="U29" s="16">
        <f t="shared" si="24"/>
        <v>0</v>
      </c>
      <c r="V29" s="110">
        <f t="shared" si="18"/>
        <v>0</v>
      </c>
      <c r="W29" s="154">
        <f t="shared" si="19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7.702077945205482</v>
      </c>
      <c r="AA29" s="63">
        <f>($L29+SUM($W29:Z29))*(S$11*S29)</f>
        <v>16.566174871204733</v>
      </c>
      <c r="AB29" s="63">
        <f>($L29+SUM($W29:AA29))*(T$11*T29)</f>
        <v>16.884474884122014</v>
      </c>
      <c r="AC29" s="63">
        <f>($L29+SUM($W29:AB29))*(U$11*U29)</f>
        <v>0</v>
      </c>
      <c r="AD29" s="63">
        <f>($L29+SUM($W29:AB29))*(V$11*V29)</f>
        <v>0</v>
      </c>
      <c r="AE29" s="114">
        <f t="shared" si="25"/>
        <v>41.152727700532225</v>
      </c>
    </row>
    <row r="30" spans="1:31" ht="12.75">
      <c r="A30" s="3">
        <v>11</v>
      </c>
      <c r="B30" s="15">
        <f t="shared" si="17"/>
        <v>41214</v>
      </c>
      <c r="C30" s="68">
        <f>IF(WEEKDAY(B31+2)=1,B31+4,IF(WEEKDAY(B31+2)=2,B31+4,IF(WEEKDAY(B31+2)=3,B31+3,IF(WEEKDAY(B31+2)=7,B31+4,(B31+2)))))</f>
        <v>41248</v>
      </c>
      <c r="D30" s="68">
        <f t="shared" si="7"/>
        <v>41263</v>
      </c>
      <c r="E30" s="30" t="s">
        <v>145</v>
      </c>
      <c r="F30" s="3">
        <v>9</v>
      </c>
      <c r="G30" s="73">
        <v>2268</v>
      </c>
      <c r="H30" s="249">
        <f t="shared" si="21"/>
        <v>1.14</v>
      </c>
      <c r="I30" s="249">
        <f t="shared" si="22"/>
        <v>1.93</v>
      </c>
      <c r="J30" s="56">
        <f t="shared" si="10"/>
        <v>4377.24</v>
      </c>
      <c r="K30" s="57">
        <f t="shared" si="11"/>
        <v>2585.52</v>
      </c>
      <c r="L30" s="79">
        <f t="shared" si="12"/>
        <v>1791.7199999999998</v>
      </c>
      <c r="M30" s="77">
        <f t="shared" si="23"/>
        <v>30.937905353840623</v>
      </c>
      <c r="N30" s="78">
        <f t="shared" si="20"/>
        <v>1822.6579053538405</v>
      </c>
      <c r="O30" s="16">
        <f t="shared" si="14"/>
        <v>0</v>
      </c>
      <c r="P30" s="16">
        <f t="shared" si="14"/>
        <v>0</v>
      </c>
      <c r="Q30" s="16">
        <f t="shared" si="14"/>
        <v>0</v>
      </c>
      <c r="R30" s="16">
        <f t="shared" si="14"/>
        <v>12</v>
      </c>
      <c r="S30" s="16">
        <f t="shared" si="24"/>
        <v>90</v>
      </c>
      <c r="T30" s="16">
        <f t="shared" si="24"/>
        <v>91</v>
      </c>
      <c r="U30" s="16">
        <f t="shared" si="24"/>
        <v>0</v>
      </c>
      <c r="V30" s="110">
        <f t="shared" si="18"/>
        <v>0</v>
      </c>
      <c r="W30" s="154">
        <f t="shared" si="19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1.9144405479452054</v>
      </c>
      <c r="AA30" s="63">
        <f>($L30+SUM($W30:Z30))*(S$11*S30)</f>
        <v>14.373645859185585</v>
      </c>
      <c r="AB30" s="63">
        <f>($L30+SUM($W30:AA30))*(T$11*T30)</f>
        <v>14.649818946709832</v>
      </c>
      <c r="AC30" s="63">
        <f>($L30+SUM($W30:AB30))*(U$11*U30)</f>
        <v>0</v>
      </c>
      <c r="AD30" s="63">
        <f>($L30+SUM($W30:AB30))*(V$11*V30)</f>
        <v>0</v>
      </c>
      <c r="AE30" s="114">
        <f t="shared" si="25"/>
        <v>30.937905353840623</v>
      </c>
    </row>
    <row r="31" spans="1:31" ht="12.75">
      <c r="A31" s="3">
        <v>12</v>
      </c>
      <c r="B31" s="15">
        <f t="shared" si="17"/>
        <v>41244</v>
      </c>
      <c r="C31" s="68">
        <v>41278</v>
      </c>
      <c r="D31" s="68">
        <f t="shared" si="7"/>
        <v>41295</v>
      </c>
      <c r="E31" s="30" t="s">
        <v>145</v>
      </c>
      <c r="F31" s="3">
        <v>9</v>
      </c>
      <c r="G31" s="88">
        <v>2482</v>
      </c>
      <c r="H31" s="250">
        <f t="shared" si="21"/>
        <v>1.14</v>
      </c>
      <c r="I31" s="250">
        <f t="shared" si="22"/>
        <v>1.93</v>
      </c>
      <c r="J31" s="89">
        <f t="shared" si="10"/>
        <v>4790.26</v>
      </c>
      <c r="K31" s="308">
        <f t="shared" si="11"/>
        <v>2829.4799999999996</v>
      </c>
      <c r="L31" s="91">
        <f t="shared" si="12"/>
        <v>1960.7800000000007</v>
      </c>
      <c r="M31" s="92">
        <f t="shared" si="23"/>
        <v>28.208016013013708</v>
      </c>
      <c r="N31" s="93">
        <f t="shared" si="20"/>
        <v>1988.9880160130144</v>
      </c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24"/>
        <v>70</v>
      </c>
      <c r="T31" s="16">
        <f t="shared" si="24"/>
        <v>91</v>
      </c>
      <c r="U31" s="16">
        <f t="shared" si="24"/>
        <v>0</v>
      </c>
      <c r="V31" s="110">
        <f t="shared" si="18"/>
        <v>0</v>
      </c>
      <c r="W31" s="154">
        <f t="shared" si="19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12.221300000000005</v>
      </c>
      <c r="AB31" s="63">
        <f>($L31+SUM($W31:AA31))*(T$11*T31)</f>
        <v>15.986716013013703</v>
      </c>
      <c r="AC31" s="63">
        <f>($L31+SUM($W31:AB31))*(U$11*U31)</f>
        <v>0</v>
      </c>
      <c r="AD31" s="63">
        <f>($L31+SUM($W31:AB31))*(V$11*V31)</f>
        <v>0</v>
      </c>
      <c r="AE31" s="114">
        <f t="shared" si="25"/>
        <v>28.208016013013708</v>
      </c>
    </row>
    <row r="32" spans="1:31" ht="12.75">
      <c r="A32" s="16">
        <v>1</v>
      </c>
      <c r="B32" s="166">
        <f t="shared" si="17"/>
        <v>40909</v>
      </c>
      <c r="C32" s="243">
        <f aca="true" t="shared" si="26" ref="C32:D51">+C20</f>
        <v>40942</v>
      </c>
      <c r="D32" s="243">
        <f t="shared" si="26"/>
        <v>40959</v>
      </c>
      <c r="E32" s="167" t="s">
        <v>146</v>
      </c>
      <c r="F32" s="168">
        <v>9</v>
      </c>
      <c r="G32" s="73">
        <v>2832.5</v>
      </c>
      <c r="H32" s="249">
        <f aca="true" t="shared" si="27" ref="H32:H37">$K$3</f>
        <v>1.45</v>
      </c>
      <c r="I32" s="249">
        <f t="shared" si="9"/>
        <v>1.93</v>
      </c>
      <c r="J32" s="56">
        <f t="shared" si="10"/>
        <v>5466.724999999999</v>
      </c>
      <c r="K32" s="57">
        <f t="shared" si="11"/>
        <v>4107.125</v>
      </c>
      <c r="L32" s="58">
        <f t="shared" si="12"/>
        <v>1359.5999999999995</v>
      </c>
      <c r="M32" s="55">
        <f t="shared" si="23"/>
        <v>61.27564624185491</v>
      </c>
      <c r="N32" s="29">
        <f t="shared" si="20"/>
        <v>1420.8756462418544</v>
      </c>
      <c r="O32" s="168">
        <f aca="true" t="shared" si="28" ref="O32:O67">IF($D32&lt;O$8,O$12,IF($D32&lt;P$8,P$8-$D32,0))</f>
        <v>41</v>
      </c>
      <c r="P32" s="168">
        <f aca="true" t="shared" si="29" ref="P32:P67">IF($D32&lt;P$8,P$12,IF($D32&lt;Q$8,Q$8-$D32,0))</f>
        <v>91</v>
      </c>
      <c r="Q32" s="168">
        <f aca="true" t="shared" si="30" ref="Q32:Q67">IF($D32&lt;Q$8,Q$12,IF($D32&lt;R$8,R$8-$D32,0))</f>
        <v>92</v>
      </c>
      <c r="R32" s="168">
        <f aca="true" t="shared" si="31" ref="R32:U47">IF($D32&lt;R$8,R$12,IF($D32&lt;S$8,S$8-$D32,0))</f>
        <v>92</v>
      </c>
      <c r="S32" s="168">
        <f t="shared" si="31"/>
        <v>90</v>
      </c>
      <c r="T32" s="168">
        <f t="shared" si="31"/>
        <v>91</v>
      </c>
      <c r="U32" s="168">
        <f t="shared" si="31"/>
        <v>0</v>
      </c>
      <c r="V32" s="170">
        <f>IF(W$8&lt;V$8,0,IF($D32&lt;V$8,V$12,IF($D32&lt;W$8,W$8-$D32,0)))</f>
        <v>0</v>
      </c>
      <c r="W32" s="171">
        <f>$L32*O$11*O32</f>
        <v>4.96347123287671</v>
      </c>
      <c r="X32" s="172">
        <f>($L32+SUM($W32:W32))*(P$11*P32)</f>
        <v>11.05670264704447</v>
      </c>
      <c r="Y32" s="172">
        <f>($L32+SUM($W32:X32))*(Q$11*Q32)</f>
        <v>11.268778958632774</v>
      </c>
      <c r="Z32" s="172">
        <f>($L32+SUM($W32:Y32))*(R$11*R32)</f>
        <v>11.361090325992533</v>
      </c>
      <c r="AA32" s="172">
        <f>($L32+SUM($W32:Z32))*(S$11*S32)</f>
        <v>11.205154455496704</v>
      </c>
      <c r="AB32" s="172">
        <f>($L32+SUM($W32:AA32))*(T$11*T32)</f>
        <v>11.420448621811715</v>
      </c>
      <c r="AC32" s="172">
        <f>($L32+SUM($W32:AB32))*(U$11*U32)</f>
        <v>0</v>
      </c>
      <c r="AD32" s="172">
        <f>($L32+SUM($W32:AB32))*(V$11*V32)</f>
        <v>0</v>
      </c>
      <c r="AE32" s="113">
        <f aca="true" t="shared" si="32" ref="AE32:AE37">SUM(W32:AD32)</f>
        <v>61.27564624185491</v>
      </c>
    </row>
    <row r="33" spans="1:31" ht="12.75">
      <c r="A33" s="3">
        <v>2</v>
      </c>
      <c r="B33" s="15">
        <f t="shared" si="17"/>
        <v>40940</v>
      </c>
      <c r="C33" s="244">
        <f t="shared" si="26"/>
        <v>40973</v>
      </c>
      <c r="D33" s="244">
        <f t="shared" si="26"/>
        <v>40988</v>
      </c>
      <c r="E33" s="71" t="s">
        <v>146</v>
      </c>
      <c r="F33" s="3">
        <v>9</v>
      </c>
      <c r="G33" s="73">
        <v>2679.5</v>
      </c>
      <c r="H33" s="249">
        <f t="shared" si="27"/>
        <v>1.45</v>
      </c>
      <c r="I33" s="249">
        <f t="shared" si="9"/>
        <v>1.93</v>
      </c>
      <c r="J33" s="56">
        <f t="shared" si="10"/>
        <v>5171.4349999999995</v>
      </c>
      <c r="K33" s="57">
        <f t="shared" si="11"/>
        <v>3885.275</v>
      </c>
      <c r="L33" s="58">
        <f t="shared" si="12"/>
        <v>1286.1599999999994</v>
      </c>
      <c r="M33" s="55">
        <f t="shared" si="23"/>
        <v>54.50762196933614</v>
      </c>
      <c r="N33" s="29">
        <f t="shared" si="20"/>
        <v>1340.6676219693356</v>
      </c>
      <c r="O33" s="16">
        <f t="shared" si="28"/>
        <v>12</v>
      </c>
      <c r="P33" s="16">
        <f t="shared" si="29"/>
        <v>91</v>
      </c>
      <c r="Q33" s="16">
        <f t="shared" si="30"/>
        <v>92</v>
      </c>
      <c r="R33" s="16">
        <f t="shared" si="31"/>
        <v>92</v>
      </c>
      <c r="S33" s="16">
        <f t="shared" si="31"/>
        <v>90</v>
      </c>
      <c r="T33" s="16">
        <f t="shared" si="31"/>
        <v>91</v>
      </c>
      <c r="U33" s="16">
        <f t="shared" si="31"/>
        <v>0</v>
      </c>
      <c r="V33" s="110">
        <f t="shared" si="18"/>
        <v>0</v>
      </c>
      <c r="W33" s="154">
        <f aca="true" t="shared" si="33" ref="W33:W43">$L33*O$11*O33</f>
        <v>1.3742531506849307</v>
      </c>
      <c r="X33" s="63">
        <f>($L33+SUM($W33:W33))*(P$11*P33)</f>
        <v>10.432554941625066</v>
      </c>
      <c r="Y33" s="63">
        <f>($L33+SUM($W33:X33))*(Q$11*Q33)</f>
        <v>10.63265960601645</v>
      </c>
      <c r="Z33" s="63">
        <f>($L33+SUM($W33:Y33))*(R$11*R33)</f>
        <v>10.719760023062998</v>
      </c>
      <c r="AA33" s="63">
        <f>($L33+SUM($W33:Z33))*(S$11*S33)</f>
        <v>10.572626687904279</v>
      </c>
      <c r="AB33" s="63">
        <f>($L33+SUM($W33:AA33))*(T$11*T33)</f>
        <v>10.775767560042423</v>
      </c>
      <c r="AC33" s="63">
        <f>($L33+SUM($W33:AB33))*(U$11*U33)</f>
        <v>0</v>
      </c>
      <c r="AD33" s="63">
        <f>($L33+SUM($W33:AB33))*(V$11*V33)</f>
        <v>0</v>
      </c>
      <c r="AE33" s="114">
        <f t="shared" si="32"/>
        <v>54.50762196933614</v>
      </c>
    </row>
    <row r="34" spans="1:31" ht="12.75">
      <c r="A34" s="3">
        <v>3</v>
      </c>
      <c r="B34" s="15">
        <f t="shared" si="17"/>
        <v>40969</v>
      </c>
      <c r="C34" s="244">
        <f t="shared" si="26"/>
        <v>41003</v>
      </c>
      <c r="D34" s="244">
        <f t="shared" si="26"/>
        <v>41018</v>
      </c>
      <c r="E34" s="71" t="s">
        <v>146</v>
      </c>
      <c r="F34" s="3">
        <v>9</v>
      </c>
      <c r="G34" s="73">
        <v>2377.5</v>
      </c>
      <c r="H34" s="249">
        <f t="shared" si="27"/>
        <v>1.45</v>
      </c>
      <c r="I34" s="249">
        <f t="shared" si="9"/>
        <v>1.93</v>
      </c>
      <c r="J34" s="56">
        <f t="shared" si="10"/>
        <v>4588.575</v>
      </c>
      <c r="K34" s="57">
        <f aca="true" t="shared" si="34" ref="K34:K69">+$G34*H34</f>
        <v>3447.375</v>
      </c>
      <c r="L34" s="58">
        <f t="shared" si="12"/>
        <v>1141.1999999999998</v>
      </c>
      <c r="M34" s="55">
        <f t="shared" si="23"/>
        <v>45.20529547973888</v>
      </c>
      <c r="N34" s="29">
        <f>SUM(L34:M34)</f>
        <v>1186.4052954797387</v>
      </c>
      <c r="O34" s="16">
        <f aca="true" t="shared" si="35" ref="O34:U34">IF($D34&lt;O$8,O$12,IF($D34&lt;P$8,P$8-$D34,0))</f>
        <v>0</v>
      </c>
      <c r="P34" s="16">
        <f t="shared" si="35"/>
        <v>73</v>
      </c>
      <c r="Q34" s="16">
        <f t="shared" si="35"/>
        <v>92</v>
      </c>
      <c r="R34" s="16">
        <f t="shared" si="35"/>
        <v>92</v>
      </c>
      <c r="S34" s="16">
        <f t="shared" si="35"/>
        <v>90</v>
      </c>
      <c r="T34" s="16">
        <f t="shared" si="35"/>
        <v>91</v>
      </c>
      <c r="U34" s="16">
        <f t="shared" si="35"/>
        <v>0</v>
      </c>
      <c r="V34" s="110">
        <f>IF(W$8&lt;V$8,0,IF($D34&lt;V$8,V$12,IF($D34&lt;W$8,W$8-$D34,0)))</f>
        <v>0</v>
      </c>
      <c r="W34" s="154">
        <f>$L34*O$11*O34</f>
        <v>0</v>
      </c>
      <c r="X34" s="63">
        <f>($L34+SUM($W34:W34))*(P$11*P34)</f>
        <v>7.417799999999999</v>
      </c>
      <c r="Y34" s="63">
        <f>($L34+SUM($W34:X34))*(Q$11*Q34)</f>
        <v>9.409225265753422</v>
      </c>
      <c r="Z34" s="63">
        <f>($L34+SUM($W34:Y34))*(R$11*R34)</f>
        <v>9.486303576834526</v>
      </c>
      <c r="AA34" s="63">
        <f>($L34+SUM($W34:Z34))*(S$11*S34)</f>
        <v>9.356099964012516</v>
      </c>
      <c r="AB34" s="63">
        <f>($L34+SUM($W34:AA34))*(T$11*T34)</f>
        <v>9.535866673138413</v>
      </c>
      <c r="AC34" s="63">
        <f>($L34+SUM($W34:AB34))*(U$11*U34)</f>
        <v>0</v>
      </c>
      <c r="AD34" s="63">
        <f>($L34+SUM($W34:AB34))*(V$11*V34)</f>
        <v>0</v>
      </c>
      <c r="AE34" s="114">
        <f t="shared" si="32"/>
        <v>45.20529547973888</v>
      </c>
    </row>
    <row r="35" spans="1:31" ht="12.75">
      <c r="A35" s="16">
        <v>4</v>
      </c>
      <c r="B35" s="15">
        <f t="shared" si="17"/>
        <v>41000</v>
      </c>
      <c r="C35" s="244">
        <f t="shared" si="26"/>
        <v>41032</v>
      </c>
      <c r="D35" s="244">
        <f t="shared" si="26"/>
        <v>41047</v>
      </c>
      <c r="E35" s="71" t="s">
        <v>146</v>
      </c>
      <c r="F35" s="3">
        <v>9</v>
      </c>
      <c r="G35" s="73">
        <v>2732.5</v>
      </c>
      <c r="H35" s="249">
        <f t="shared" si="27"/>
        <v>1.45</v>
      </c>
      <c r="I35" s="249">
        <f t="shared" si="9"/>
        <v>1.93</v>
      </c>
      <c r="J35" s="56">
        <f t="shared" si="10"/>
        <v>5273.724999999999</v>
      </c>
      <c r="K35" s="57">
        <f t="shared" si="34"/>
        <v>3962.125</v>
      </c>
      <c r="L35" s="58">
        <f aca="true" t="shared" si="36" ref="L35:L45">+J35-K35</f>
        <v>1311.5999999999995</v>
      </c>
      <c r="M35" s="55">
        <f t="shared" si="23"/>
        <v>48.4569698224703</v>
      </c>
      <c r="N35" s="29">
        <f aca="true" t="shared" si="37" ref="N35:N45">SUM(L35:M35)</f>
        <v>1360.0569698224697</v>
      </c>
      <c r="O35" s="16">
        <f t="shared" si="28"/>
        <v>0</v>
      </c>
      <c r="P35" s="16">
        <f t="shared" si="29"/>
        <v>44</v>
      </c>
      <c r="Q35" s="16">
        <f t="shared" si="30"/>
        <v>92</v>
      </c>
      <c r="R35" s="16">
        <f t="shared" si="31"/>
        <v>92</v>
      </c>
      <c r="S35" s="16">
        <f t="shared" si="31"/>
        <v>90</v>
      </c>
      <c r="T35" s="16">
        <f t="shared" si="31"/>
        <v>91</v>
      </c>
      <c r="U35" s="16">
        <f t="shared" si="31"/>
        <v>0</v>
      </c>
      <c r="V35" s="110">
        <f t="shared" si="18"/>
        <v>0</v>
      </c>
      <c r="W35" s="154">
        <f t="shared" si="33"/>
        <v>0</v>
      </c>
      <c r="X35" s="63">
        <f>($L35+SUM($W35:W35))*(P$11*P35)</f>
        <v>5.13859726027397</v>
      </c>
      <c r="Y35" s="63">
        <f>($L35+SUM($W35:X35))*(Q$11*Q35)</f>
        <v>10.786433988515665</v>
      </c>
      <c r="Z35" s="63">
        <f>($L35+SUM($W35:Y35))*(R$11*R35)</f>
        <v>10.874794091599668</v>
      </c>
      <c r="AA35" s="63">
        <f>($L35+SUM($W35:Z35))*(S$11*S35)</f>
        <v>10.725532846905855</v>
      </c>
      <c r="AB35" s="63">
        <f>($L35+SUM($W35:AA35))*(T$11*T35)</f>
        <v>10.931611635175134</v>
      </c>
      <c r="AC35" s="63">
        <f>($L35+SUM($W35:AB35))*(U$11*U35)</f>
        <v>0</v>
      </c>
      <c r="AD35" s="63">
        <f>($L35+SUM($W35:AB35))*(V$11*V35)</f>
        <v>0</v>
      </c>
      <c r="AE35" s="114">
        <f t="shared" si="32"/>
        <v>48.4569698224703</v>
      </c>
    </row>
    <row r="36" spans="1:31" ht="12.75">
      <c r="A36" s="3">
        <v>5</v>
      </c>
      <c r="B36" s="15">
        <f t="shared" si="17"/>
        <v>41030</v>
      </c>
      <c r="C36" s="244">
        <f t="shared" si="26"/>
        <v>41065</v>
      </c>
      <c r="D36" s="244">
        <f t="shared" si="26"/>
        <v>41080</v>
      </c>
      <c r="E36" s="30" t="s">
        <v>146</v>
      </c>
      <c r="F36" s="3">
        <v>9</v>
      </c>
      <c r="G36" s="73">
        <v>3389.5</v>
      </c>
      <c r="H36" s="249">
        <f t="shared" si="27"/>
        <v>1.45</v>
      </c>
      <c r="I36" s="249">
        <f t="shared" si="9"/>
        <v>1.93</v>
      </c>
      <c r="J36" s="56">
        <f t="shared" si="10"/>
        <v>6541.735</v>
      </c>
      <c r="K36" s="57">
        <f t="shared" si="34"/>
        <v>4914.775</v>
      </c>
      <c r="L36" s="58">
        <f t="shared" si="36"/>
        <v>1626.96</v>
      </c>
      <c r="M36" s="55">
        <f t="shared" si="23"/>
        <v>55.17006202029556</v>
      </c>
      <c r="N36" s="29">
        <f t="shared" si="37"/>
        <v>1682.1300620202956</v>
      </c>
      <c r="O36" s="16">
        <f t="shared" si="28"/>
        <v>0</v>
      </c>
      <c r="P36" s="16">
        <f t="shared" si="29"/>
        <v>11</v>
      </c>
      <c r="Q36" s="16">
        <f t="shared" si="30"/>
        <v>92</v>
      </c>
      <c r="R36" s="16">
        <f t="shared" si="31"/>
        <v>92</v>
      </c>
      <c r="S36" s="16">
        <f t="shared" si="31"/>
        <v>90</v>
      </c>
      <c r="T36" s="16">
        <f t="shared" si="31"/>
        <v>91</v>
      </c>
      <c r="U36" s="16">
        <f t="shared" si="31"/>
        <v>0</v>
      </c>
      <c r="V36" s="110">
        <f t="shared" si="18"/>
        <v>0</v>
      </c>
      <c r="W36" s="154">
        <f t="shared" si="33"/>
        <v>0</v>
      </c>
      <c r="X36" s="63">
        <f>($L36+SUM($W36:W36))*(P$11*P36)</f>
        <v>1.593529315068493</v>
      </c>
      <c r="Y36" s="63">
        <f>($L36+SUM($W36:X36))*(Q$11*Q36)</f>
        <v>13.340753568909738</v>
      </c>
      <c r="Z36" s="63">
        <f>($L36+SUM($W36:Y36))*(R$11*R36)</f>
        <v>13.450038098145464</v>
      </c>
      <c r="AA36" s="63">
        <f>($L36+SUM($W36:Z36))*(S$11*S36)</f>
        <v>13.265430517459484</v>
      </c>
      <c r="AB36" s="63">
        <f>($L36+SUM($W36:AA36))*(T$11*T36)</f>
        <v>13.520310520712377</v>
      </c>
      <c r="AC36" s="63">
        <f>($L36+SUM($W36:AB36))*(U$11*U36)</f>
        <v>0</v>
      </c>
      <c r="AD36" s="63">
        <f>($L36+SUM($W36:AB36))*(V$11*V36)</f>
        <v>0</v>
      </c>
      <c r="AE36" s="114">
        <f t="shared" si="32"/>
        <v>55.17006202029556</v>
      </c>
    </row>
    <row r="37" spans="1:31" ht="12.75">
      <c r="A37" s="3">
        <v>6</v>
      </c>
      <c r="B37" s="15">
        <f t="shared" si="17"/>
        <v>41061</v>
      </c>
      <c r="C37" s="244">
        <f t="shared" si="26"/>
        <v>41095</v>
      </c>
      <c r="D37" s="244">
        <f t="shared" si="26"/>
        <v>41110</v>
      </c>
      <c r="E37" s="30" t="s">
        <v>146</v>
      </c>
      <c r="F37" s="3">
        <v>9</v>
      </c>
      <c r="G37" s="73">
        <v>3887.5</v>
      </c>
      <c r="H37" s="249">
        <f t="shared" si="27"/>
        <v>1.45</v>
      </c>
      <c r="I37" s="249">
        <f t="shared" si="9"/>
        <v>1.93</v>
      </c>
      <c r="J37" s="56">
        <f t="shared" si="10"/>
        <v>7502.875</v>
      </c>
      <c r="K37" s="57">
        <f t="shared" si="34"/>
        <v>5636.875</v>
      </c>
      <c r="L37" s="79">
        <f t="shared" si="36"/>
        <v>1866</v>
      </c>
      <c r="M37" s="80">
        <f t="shared" si="23"/>
        <v>58.15387774107951</v>
      </c>
      <c r="N37" s="78">
        <f t="shared" si="37"/>
        <v>1924.1538777410794</v>
      </c>
      <c r="O37" s="16">
        <f t="shared" si="28"/>
        <v>0</v>
      </c>
      <c r="P37" s="16">
        <f t="shared" si="29"/>
        <v>0</v>
      </c>
      <c r="Q37" s="16">
        <f t="shared" si="30"/>
        <v>73</v>
      </c>
      <c r="R37" s="16">
        <f t="shared" si="31"/>
        <v>92</v>
      </c>
      <c r="S37" s="16">
        <f t="shared" si="31"/>
        <v>90</v>
      </c>
      <c r="T37" s="16">
        <f t="shared" si="31"/>
        <v>91</v>
      </c>
      <c r="U37" s="16">
        <f t="shared" si="31"/>
        <v>0</v>
      </c>
      <c r="V37" s="110">
        <f t="shared" si="18"/>
        <v>0</v>
      </c>
      <c r="W37" s="154">
        <f t="shared" si="33"/>
        <v>0</v>
      </c>
      <c r="X37" s="63">
        <f>($L37+SUM($W37:W37))*(P$11*P37)</f>
        <v>0</v>
      </c>
      <c r="Y37" s="63">
        <f>($L37+SUM($W37:X37))*(Q$11*Q37)</f>
        <v>12.129</v>
      </c>
      <c r="Z37" s="63">
        <f>($L37+SUM($W37:Y37))*(R$11*R37)</f>
        <v>15.38522112328767</v>
      </c>
      <c r="AA37" s="63">
        <f>($L37+SUM($W37:Z37))*(S$11*S37)</f>
        <v>15.174052319960591</v>
      </c>
      <c r="AB37" s="63">
        <f>($L37+SUM($W37:AA37))*(T$11*T37)</f>
        <v>15.465604297831252</v>
      </c>
      <c r="AC37" s="63">
        <f>($L37+SUM($W37:AB37))*(U$11*U37)</f>
        <v>0</v>
      </c>
      <c r="AD37" s="63">
        <f>($L37+SUM($W37:AB37))*(V$11*V37)</f>
        <v>0</v>
      </c>
      <c r="AE37" s="114">
        <f t="shared" si="32"/>
        <v>58.15387774107951</v>
      </c>
    </row>
    <row r="38" spans="1:31" ht="12.75">
      <c r="A38" s="16">
        <v>7</v>
      </c>
      <c r="B38" s="15">
        <f t="shared" si="17"/>
        <v>41091</v>
      </c>
      <c r="C38" s="244">
        <f t="shared" si="26"/>
        <v>41124</v>
      </c>
      <c r="D38" s="244">
        <f t="shared" si="26"/>
        <v>41141</v>
      </c>
      <c r="E38" s="30" t="s">
        <v>146</v>
      </c>
      <c r="F38" s="3">
        <v>9</v>
      </c>
      <c r="G38" s="73">
        <v>3935.5</v>
      </c>
      <c r="H38" s="249">
        <f aca="true" t="shared" si="38" ref="H38:H43">$K$8</f>
        <v>1.14</v>
      </c>
      <c r="I38" s="249">
        <f aca="true" t="shared" si="39" ref="I38:I43">J$8</f>
        <v>1.93</v>
      </c>
      <c r="J38" s="56">
        <f t="shared" si="10"/>
        <v>7595.514999999999</v>
      </c>
      <c r="K38" s="57">
        <f t="shared" si="34"/>
        <v>4486.469999999999</v>
      </c>
      <c r="L38" s="79">
        <f t="shared" si="36"/>
        <v>3109.045</v>
      </c>
      <c r="M38" s="77">
        <f aca="true" t="shared" si="40" ref="M38:M73">+AE38</f>
        <v>88.10124754400421</v>
      </c>
      <c r="N38" s="78">
        <f t="shared" si="37"/>
        <v>3197.1462475440044</v>
      </c>
      <c r="O38" s="16">
        <f t="shared" si="28"/>
        <v>0</v>
      </c>
      <c r="P38" s="16">
        <f t="shared" si="29"/>
        <v>0</v>
      </c>
      <c r="Q38" s="16">
        <f t="shared" si="30"/>
        <v>42</v>
      </c>
      <c r="R38" s="16">
        <f t="shared" si="31"/>
        <v>92</v>
      </c>
      <c r="S38" s="16">
        <f t="shared" si="31"/>
        <v>90</v>
      </c>
      <c r="T38" s="16">
        <f t="shared" si="31"/>
        <v>91</v>
      </c>
      <c r="U38" s="16">
        <f t="shared" si="31"/>
        <v>0</v>
      </c>
      <c r="V38" s="110">
        <f t="shared" si="18"/>
        <v>0</v>
      </c>
      <c r="W38" s="154">
        <f t="shared" si="33"/>
        <v>0</v>
      </c>
      <c r="X38" s="63">
        <f>($L38+SUM($W38:W38))*(P$11*P38)</f>
        <v>0</v>
      </c>
      <c r="Y38" s="63">
        <f>($L38+SUM($W38:X38))*(Q$11*Q38)</f>
        <v>11.626976506849315</v>
      </c>
      <c r="Z38" s="63">
        <f>($L38+SUM($W38:Y38))*(R$11*R38)</f>
        <v>25.563860848645145</v>
      </c>
      <c r="AA38" s="63">
        <f>($L38+SUM($W38:Z38))*(S$11*S38)</f>
        <v>25.21298581990362</v>
      </c>
      <c r="AB38" s="63">
        <f>($L38+SUM($W38:AA38))*(T$11*T38)</f>
        <v>25.697424368606136</v>
      </c>
      <c r="AC38" s="63">
        <f>($L38+SUM($W38:AB38))*(U$11*U38)</f>
        <v>0</v>
      </c>
      <c r="AD38" s="63">
        <f>($L38+SUM($W38:AB38))*(V$11*V38)</f>
        <v>0</v>
      </c>
      <c r="AE38" s="114">
        <f aca="true" t="shared" si="41" ref="AE38:AE43">SUM(W38:AD38)</f>
        <v>88.10124754400421</v>
      </c>
    </row>
    <row r="39" spans="1:31" ht="12.75">
      <c r="A39" s="3">
        <v>8</v>
      </c>
      <c r="B39" s="15">
        <f t="shared" si="17"/>
        <v>41122</v>
      </c>
      <c r="C39" s="244">
        <f t="shared" si="26"/>
        <v>41158</v>
      </c>
      <c r="D39" s="244">
        <f t="shared" si="26"/>
        <v>41173</v>
      </c>
      <c r="E39" s="30" t="s">
        <v>146</v>
      </c>
      <c r="F39" s="3">
        <v>9</v>
      </c>
      <c r="G39" s="73">
        <v>3842.5</v>
      </c>
      <c r="H39" s="249">
        <f t="shared" si="38"/>
        <v>1.14</v>
      </c>
      <c r="I39" s="249">
        <f t="shared" si="39"/>
        <v>1.93</v>
      </c>
      <c r="J39" s="56">
        <f t="shared" si="10"/>
        <v>7416.025</v>
      </c>
      <c r="K39" s="57">
        <f t="shared" si="34"/>
        <v>4380.45</v>
      </c>
      <c r="L39" s="79">
        <f t="shared" si="36"/>
        <v>3035.575</v>
      </c>
      <c r="M39" s="77">
        <f t="shared" si="40"/>
        <v>77.15805546736011</v>
      </c>
      <c r="N39" s="78">
        <f t="shared" si="37"/>
        <v>3112.73305546736</v>
      </c>
      <c r="O39" s="16">
        <f t="shared" si="28"/>
        <v>0</v>
      </c>
      <c r="P39" s="16">
        <f t="shared" si="29"/>
        <v>0</v>
      </c>
      <c r="Q39" s="16">
        <f t="shared" si="30"/>
        <v>10</v>
      </c>
      <c r="R39" s="16">
        <f t="shared" si="31"/>
        <v>92</v>
      </c>
      <c r="S39" s="16">
        <f t="shared" si="31"/>
        <v>90</v>
      </c>
      <c r="T39" s="16">
        <f t="shared" si="31"/>
        <v>91</v>
      </c>
      <c r="U39" s="16">
        <f t="shared" si="31"/>
        <v>0</v>
      </c>
      <c r="V39" s="110">
        <f t="shared" si="18"/>
        <v>0</v>
      </c>
      <c r="W39" s="154">
        <f t="shared" si="33"/>
        <v>0</v>
      </c>
      <c r="X39" s="63">
        <f>($L39+SUM($W39:W39))*(P$11*P39)</f>
        <v>0</v>
      </c>
      <c r="Y39" s="63">
        <f>($L39+SUM($W39:X39))*(Q$11*Q39)</f>
        <v>2.7029092465753424</v>
      </c>
      <c r="Z39" s="63">
        <f>($L39+SUM($W39:Y39))*(R$11*R39)</f>
        <v>24.888906708622628</v>
      </c>
      <c r="AA39" s="63">
        <f>($L39+SUM($W39:Z39))*(S$11*S39)</f>
        <v>24.54729571690124</v>
      </c>
      <c r="AB39" s="63">
        <f>($L39+SUM($W39:AA39))*(T$11*T39)</f>
        <v>25.018943795260913</v>
      </c>
      <c r="AC39" s="63">
        <f>($L39+SUM($W39:AB39))*(U$11*U39)</f>
        <v>0</v>
      </c>
      <c r="AD39" s="63">
        <f>($L39+SUM($W39:AB39))*(V$11*V39)</f>
        <v>0</v>
      </c>
      <c r="AE39" s="114">
        <f t="shared" si="41"/>
        <v>77.15805546736011</v>
      </c>
    </row>
    <row r="40" spans="1:31" ht="12.75">
      <c r="A40" s="3">
        <v>9</v>
      </c>
      <c r="B40" s="15">
        <f t="shared" si="17"/>
        <v>41153</v>
      </c>
      <c r="C40" s="244">
        <f t="shared" si="26"/>
        <v>41185</v>
      </c>
      <c r="D40" s="244">
        <f t="shared" si="26"/>
        <v>41200</v>
      </c>
      <c r="E40" s="30" t="s">
        <v>146</v>
      </c>
      <c r="F40" s="3">
        <v>9</v>
      </c>
      <c r="G40" s="73">
        <v>3756.5</v>
      </c>
      <c r="H40" s="249">
        <f t="shared" si="38"/>
        <v>1.14</v>
      </c>
      <c r="I40" s="249">
        <f t="shared" si="39"/>
        <v>1.93</v>
      </c>
      <c r="J40" s="56">
        <f t="shared" si="10"/>
        <v>7250.045</v>
      </c>
      <c r="K40" s="57">
        <f t="shared" si="34"/>
        <v>4282.41</v>
      </c>
      <c r="L40" s="79">
        <f t="shared" si="36"/>
        <v>2967.635</v>
      </c>
      <c r="M40" s="77">
        <f t="shared" si="40"/>
        <v>68.15919837825219</v>
      </c>
      <c r="N40" s="78">
        <f t="shared" si="37"/>
        <v>3035.7941983782525</v>
      </c>
      <c r="O40" s="16">
        <f t="shared" si="28"/>
        <v>0</v>
      </c>
      <c r="P40" s="16">
        <f t="shared" si="29"/>
        <v>0</v>
      </c>
      <c r="Q40" s="16">
        <f t="shared" si="30"/>
        <v>0</v>
      </c>
      <c r="R40" s="16">
        <f t="shared" si="31"/>
        <v>75</v>
      </c>
      <c r="S40" s="16">
        <f t="shared" si="31"/>
        <v>90</v>
      </c>
      <c r="T40" s="16">
        <f t="shared" si="31"/>
        <v>91</v>
      </c>
      <c r="U40" s="16">
        <f t="shared" si="31"/>
        <v>0</v>
      </c>
      <c r="V40" s="110">
        <f t="shared" si="18"/>
        <v>0</v>
      </c>
      <c r="W40" s="154">
        <f t="shared" si="33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19.81811044520548</v>
      </c>
      <c r="AA40" s="63">
        <f>($L40+SUM($W40:Z40))*(S$11*S40)</f>
        <v>23.940548898773223</v>
      </c>
      <c r="AB40" s="63">
        <f>($L40+SUM($W40:AA40))*(T$11*T40)</f>
        <v>24.400539034273475</v>
      </c>
      <c r="AC40" s="63">
        <f>($L40+SUM($W40:AB40))*(U$11*U40)</f>
        <v>0</v>
      </c>
      <c r="AD40" s="63">
        <f>($L40+SUM($W40:AB40))*(V$11*V40)</f>
        <v>0</v>
      </c>
      <c r="AE40" s="114">
        <f t="shared" si="41"/>
        <v>68.15919837825219</v>
      </c>
    </row>
    <row r="41" spans="1:31" ht="12.75">
      <c r="A41" s="16">
        <v>10</v>
      </c>
      <c r="B41" s="15">
        <f t="shared" si="17"/>
        <v>41183</v>
      </c>
      <c r="C41" s="244">
        <f t="shared" si="26"/>
        <v>41218</v>
      </c>
      <c r="D41" s="244">
        <f t="shared" si="26"/>
        <v>41233</v>
      </c>
      <c r="E41" s="30" t="s">
        <v>146</v>
      </c>
      <c r="F41" s="3">
        <v>9</v>
      </c>
      <c r="G41" s="73">
        <v>2589.5</v>
      </c>
      <c r="H41" s="249">
        <f t="shared" si="38"/>
        <v>1.14</v>
      </c>
      <c r="I41" s="249">
        <f t="shared" si="39"/>
        <v>1.93</v>
      </c>
      <c r="J41" s="56">
        <f t="shared" si="10"/>
        <v>4997.735</v>
      </c>
      <c r="K41" s="57">
        <f t="shared" si="34"/>
        <v>2952.0299999999997</v>
      </c>
      <c r="L41" s="79">
        <f t="shared" si="36"/>
        <v>2045.705</v>
      </c>
      <c r="M41" s="77">
        <f t="shared" si="40"/>
        <v>40.87648192578756</v>
      </c>
      <c r="N41" s="78">
        <f t="shared" si="37"/>
        <v>2086.5814819257876</v>
      </c>
      <c r="O41" s="16">
        <f t="shared" si="28"/>
        <v>0</v>
      </c>
      <c r="P41" s="16">
        <f t="shared" si="29"/>
        <v>0</v>
      </c>
      <c r="Q41" s="16">
        <f t="shared" si="30"/>
        <v>0</v>
      </c>
      <c r="R41" s="16">
        <f t="shared" si="31"/>
        <v>42</v>
      </c>
      <c r="S41" s="16">
        <f t="shared" si="31"/>
        <v>90</v>
      </c>
      <c r="T41" s="16">
        <f t="shared" si="31"/>
        <v>91</v>
      </c>
      <c r="U41" s="16">
        <f t="shared" si="31"/>
        <v>0</v>
      </c>
      <c r="V41" s="110">
        <f t="shared" si="18"/>
        <v>0</v>
      </c>
      <c r="W41" s="154">
        <f t="shared" si="33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7.650376232876712</v>
      </c>
      <c r="AA41" s="63">
        <f>($L41+SUM($W41:Z41))*(S$11*S41)</f>
        <v>16.454971165701817</v>
      </c>
      <c r="AB41" s="63">
        <f>($L41+SUM($W41:AA41))*(T$11*T41)</f>
        <v>16.77113452720903</v>
      </c>
      <c r="AC41" s="63">
        <f>($L41+SUM($W41:AB41))*(U$11*U41)</f>
        <v>0</v>
      </c>
      <c r="AD41" s="63">
        <f>($L41+SUM($W41:AB41))*(V$11*V41)</f>
        <v>0</v>
      </c>
      <c r="AE41" s="114">
        <f t="shared" si="41"/>
        <v>40.87648192578756</v>
      </c>
    </row>
    <row r="42" spans="1:31" ht="12.75">
      <c r="A42" s="3">
        <v>11</v>
      </c>
      <c r="B42" s="15">
        <f t="shared" si="17"/>
        <v>41214</v>
      </c>
      <c r="C42" s="244">
        <f t="shared" si="26"/>
        <v>41248</v>
      </c>
      <c r="D42" s="244">
        <f t="shared" si="26"/>
        <v>41263</v>
      </c>
      <c r="E42" s="30" t="s">
        <v>146</v>
      </c>
      <c r="F42" s="3">
        <v>9</v>
      </c>
      <c r="G42" s="73">
        <v>2457.5</v>
      </c>
      <c r="H42" s="249">
        <f t="shared" si="38"/>
        <v>1.14</v>
      </c>
      <c r="I42" s="249">
        <f t="shared" si="39"/>
        <v>1.93</v>
      </c>
      <c r="J42" s="56">
        <f t="shared" si="10"/>
        <v>4742.974999999999</v>
      </c>
      <c r="K42" s="57">
        <f t="shared" si="34"/>
        <v>2801.5499999999997</v>
      </c>
      <c r="L42" s="79">
        <f t="shared" si="36"/>
        <v>1941.4249999999997</v>
      </c>
      <c r="M42" s="77">
        <f t="shared" si="40"/>
        <v>33.522884659199</v>
      </c>
      <c r="N42" s="78">
        <f t="shared" si="37"/>
        <v>1974.9478846591987</v>
      </c>
      <c r="O42" s="16">
        <f t="shared" si="28"/>
        <v>0</v>
      </c>
      <c r="P42" s="16">
        <f t="shared" si="29"/>
        <v>0</v>
      </c>
      <c r="Q42" s="16">
        <f t="shared" si="30"/>
        <v>0</v>
      </c>
      <c r="R42" s="16">
        <f t="shared" si="31"/>
        <v>12</v>
      </c>
      <c r="S42" s="16">
        <f t="shared" si="31"/>
        <v>90</v>
      </c>
      <c r="T42" s="16">
        <f t="shared" si="31"/>
        <v>91</v>
      </c>
      <c r="U42" s="16">
        <f t="shared" si="31"/>
        <v>0</v>
      </c>
      <c r="V42" s="110">
        <f t="shared" si="18"/>
        <v>0</v>
      </c>
      <c r="W42" s="154">
        <f t="shared" si="33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2.0743993150684927</v>
      </c>
      <c r="AA42" s="63">
        <f>($L42+SUM($W42:Z42))*(S$11*S42)</f>
        <v>15.574618473963218</v>
      </c>
      <c r="AB42" s="63">
        <f>($L42+SUM($W42:AA42))*(T$11*T42)</f>
        <v>15.873866870167289</v>
      </c>
      <c r="AC42" s="63">
        <f>($L42+SUM($W42:AB42))*(U$11*U42)</f>
        <v>0</v>
      </c>
      <c r="AD42" s="63">
        <f>($L42+SUM($W42:AB42))*(V$11*V42)</f>
        <v>0</v>
      </c>
      <c r="AE42" s="114">
        <f t="shared" si="41"/>
        <v>33.522884659199</v>
      </c>
    </row>
    <row r="43" spans="1:31" ht="12.75">
      <c r="A43" s="3">
        <v>12</v>
      </c>
      <c r="B43" s="15">
        <f t="shared" si="17"/>
        <v>41244</v>
      </c>
      <c r="C43" s="244">
        <f t="shared" si="26"/>
        <v>41278</v>
      </c>
      <c r="D43" s="244">
        <f t="shared" si="26"/>
        <v>41295</v>
      </c>
      <c r="E43" s="30" t="s">
        <v>146</v>
      </c>
      <c r="F43" s="3">
        <v>9</v>
      </c>
      <c r="G43" s="88">
        <v>2829.5</v>
      </c>
      <c r="H43" s="250">
        <f t="shared" si="38"/>
        <v>1.14</v>
      </c>
      <c r="I43" s="250">
        <f t="shared" si="39"/>
        <v>1.93</v>
      </c>
      <c r="J43" s="89">
        <f t="shared" si="10"/>
        <v>5460.9349999999995</v>
      </c>
      <c r="K43" s="308">
        <f t="shared" si="34"/>
        <v>3225.6299999999997</v>
      </c>
      <c r="L43" s="91">
        <f t="shared" si="36"/>
        <v>2235.305</v>
      </c>
      <c r="M43" s="92">
        <f t="shared" si="40"/>
        <v>32.15736555552871</v>
      </c>
      <c r="N43" s="93">
        <f t="shared" si="37"/>
        <v>2267.462365555529</v>
      </c>
      <c r="O43" s="16">
        <f t="shared" si="28"/>
        <v>0</v>
      </c>
      <c r="P43" s="16">
        <f t="shared" si="29"/>
        <v>0</v>
      </c>
      <c r="Q43" s="16">
        <f t="shared" si="30"/>
        <v>0</v>
      </c>
      <c r="R43" s="16">
        <f t="shared" si="31"/>
        <v>0</v>
      </c>
      <c r="S43" s="16">
        <f t="shared" si="31"/>
        <v>70</v>
      </c>
      <c r="T43" s="16">
        <f t="shared" si="31"/>
        <v>91</v>
      </c>
      <c r="U43" s="16">
        <f t="shared" si="31"/>
        <v>0</v>
      </c>
      <c r="V43" s="110">
        <f t="shared" si="18"/>
        <v>0</v>
      </c>
      <c r="W43" s="154">
        <f t="shared" si="33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13.932380479452053</v>
      </c>
      <c r="AB43" s="63">
        <f>($L43+SUM($W43:AA43))*(T$11*T43)</f>
        <v>18.224985076076656</v>
      </c>
      <c r="AC43" s="63">
        <f>($L43+SUM($W43:AB43))*(U$11*U43)</f>
        <v>0</v>
      </c>
      <c r="AD43" s="63">
        <f>($L43+SUM($W43:AB43))*(V$11*V43)</f>
        <v>0</v>
      </c>
      <c r="AE43" s="114">
        <f t="shared" si="41"/>
        <v>32.15736555552871</v>
      </c>
    </row>
    <row r="44" spans="1:31" s="169" customFormat="1" ht="12.75">
      <c r="A44" s="16">
        <v>1</v>
      </c>
      <c r="B44" s="166">
        <f t="shared" si="17"/>
        <v>40909</v>
      </c>
      <c r="C44" s="243">
        <f t="shared" si="26"/>
        <v>40942</v>
      </c>
      <c r="D44" s="243">
        <f t="shared" si="26"/>
        <v>40959</v>
      </c>
      <c r="E44" s="167" t="s">
        <v>136</v>
      </c>
      <c r="F44" s="168">
        <v>9</v>
      </c>
      <c r="G44" s="73">
        <v>653</v>
      </c>
      <c r="H44" s="249">
        <f aca="true" t="shared" si="42" ref="H44:H49">$K$3</f>
        <v>1.45</v>
      </c>
      <c r="I44" s="249">
        <f t="shared" si="9"/>
        <v>1.93</v>
      </c>
      <c r="J44" s="56">
        <f t="shared" si="10"/>
        <v>1260.29</v>
      </c>
      <c r="K44" s="57">
        <f t="shared" si="34"/>
        <v>946.85</v>
      </c>
      <c r="L44" s="58">
        <f t="shared" si="36"/>
        <v>313.43999999999994</v>
      </c>
      <c r="M44" s="55">
        <f t="shared" si="40"/>
        <v>14.12638905416814</v>
      </c>
      <c r="N44" s="29">
        <f t="shared" si="37"/>
        <v>327.5663890541681</v>
      </c>
      <c r="O44" s="168">
        <f t="shared" si="28"/>
        <v>41</v>
      </c>
      <c r="P44" s="168">
        <f t="shared" si="29"/>
        <v>91</v>
      </c>
      <c r="Q44" s="168">
        <f t="shared" si="30"/>
        <v>92</v>
      </c>
      <c r="R44" s="168">
        <f t="shared" si="31"/>
        <v>92</v>
      </c>
      <c r="S44" s="168">
        <f t="shared" si="31"/>
        <v>90</v>
      </c>
      <c r="T44" s="168">
        <f t="shared" si="31"/>
        <v>91</v>
      </c>
      <c r="U44" s="168">
        <f t="shared" si="31"/>
        <v>0</v>
      </c>
      <c r="V44" s="170">
        <f>IF(W$8&lt;V$8,0,IF($D44&lt;V$8,V$12,IF($D44&lt;W$8,W$8-$D44,0)))</f>
        <v>0</v>
      </c>
      <c r="W44" s="171">
        <f>$L44*O$11*O44</f>
        <v>1.1442706849315067</v>
      </c>
      <c r="X44" s="172">
        <f>($L44+SUM($W44:W44))*(P$11*P44)</f>
        <v>2.54899446726215</v>
      </c>
      <c r="Y44" s="172">
        <f>($L44+SUM($W44:X44))*(Q$11*Q44)</f>
        <v>2.5978861994659144</v>
      </c>
      <c r="Z44" s="172">
        <f>($L44+SUM($W44:Y44))*(R$11*R44)</f>
        <v>2.619167513812224</v>
      </c>
      <c r="AA44" s="172">
        <f>($L44+SUM($W44:Z44))*(S$11*S44)</f>
        <v>2.5832183087164515</v>
      </c>
      <c r="AB44" s="172">
        <f>($L44+SUM($W44:AA44))*(T$11*T44)</f>
        <v>2.632851879979895</v>
      </c>
      <c r="AC44" s="172">
        <f>($L44+SUM($W44:AB44))*(U$11*U44)</f>
        <v>0</v>
      </c>
      <c r="AD44" s="172">
        <f>($L44+SUM($W44:AB44))*(V$11*V44)</f>
        <v>0</v>
      </c>
      <c r="AE44" s="113">
        <f aca="true" t="shared" si="43" ref="AE44:AE49">SUM(W44:AD44)</f>
        <v>14.12638905416814</v>
      </c>
    </row>
    <row r="45" spans="1:31" ht="12.75">
      <c r="A45" s="3">
        <v>2</v>
      </c>
      <c r="B45" s="15">
        <f t="shared" si="17"/>
        <v>40940</v>
      </c>
      <c r="C45" s="244">
        <f t="shared" si="26"/>
        <v>40973</v>
      </c>
      <c r="D45" s="244">
        <f t="shared" si="26"/>
        <v>40988</v>
      </c>
      <c r="E45" s="71" t="s">
        <v>136</v>
      </c>
      <c r="F45" s="3">
        <v>9</v>
      </c>
      <c r="G45" s="73">
        <v>576</v>
      </c>
      <c r="H45" s="249">
        <f t="shared" si="42"/>
        <v>1.45</v>
      </c>
      <c r="I45" s="249">
        <f t="shared" si="9"/>
        <v>1.93</v>
      </c>
      <c r="J45" s="56">
        <f t="shared" si="10"/>
        <v>1111.68</v>
      </c>
      <c r="K45" s="57">
        <f t="shared" si="34"/>
        <v>835.1999999999999</v>
      </c>
      <c r="L45" s="58">
        <f t="shared" si="36"/>
        <v>276.48000000000013</v>
      </c>
      <c r="M45" s="55">
        <f t="shared" si="40"/>
        <v>11.717257045843496</v>
      </c>
      <c r="N45" s="29">
        <f t="shared" si="37"/>
        <v>288.1972570458436</v>
      </c>
      <c r="O45" s="16">
        <f t="shared" si="28"/>
        <v>12</v>
      </c>
      <c r="P45" s="16">
        <f t="shared" si="29"/>
        <v>91</v>
      </c>
      <c r="Q45" s="16">
        <f t="shared" si="30"/>
        <v>92</v>
      </c>
      <c r="R45" s="16">
        <f t="shared" si="31"/>
        <v>92</v>
      </c>
      <c r="S45" s="16">
        <f t="shared" si="31"/>
        <v>90</v>
      </c>
      <c r="T45" s="16">
        <f t="shared" si="31"/>
        <v>91</v>
      </c>
      <c r="U45" s="16">
        <f t="shared" si="31"/>
        <v>0</v>
      </c>
      <c r="V45" s="110">
        <f t="shared" si="18"/>
        <v>0</v>
      </c>
      <c r="W45" s="154">
        <f aca="true" t="shared" si="44" ref="W45:W55">$L45*O$11*O45</f>
        <v>0.29541698630137003</v>
      </c>
      <c r="X45" s="63">
        <f>($L45+SUM($W45:W45))*(P$11*P45)</f>
        <v>2.242639166402703</v>
      </c>
      <c r="Y45" s="63">
        <f>($L45+SUM($W45:X45))*(Q$11*Q45)</f>
        <v>2.2856547613605085</v>
      </c>
      <c r="Z45" s="63">
        <f>($L45+SUM($W45:Y45))*(R$11*R45)</f>
        <v>2.3043783442001464</v>
      </c>
      <c r="AA45" s="63">
        <f>($L45+SUM($W45:Z45))*(S$11*S45)</f>
        <v>2.2727497563847248</v>
      </c>
      <c r="AB45" s="63">
        <f>($L45+SUM($W45:AA45))*(T$11*T45)</f>
        <v>2.3164180311940443</v>
      </c>
      <c r="AC45" s="63">
        <f>($L45+SUM($W45:AB45))*(U$11*U45)</f>
        <v>0</v>
      </c>
      <c r="AD45" s="63">
        <f>($L45+SUM($W45:AB45))*(V$11*V45)</f>
        <v>0</v>
      </c>
      <c r="AE45" s="114">
        <f t="shared" si="43"/>
        <v>11.717257045843496</v>
      </c>
    </row>
    <row r="46" spans="1:31" ht="12.75">
      <c r="A46" s="3">
        <v>3</v>
      </c>
      <c r="B46" s="15">
        <f t="shared" si="17"/>
        <v>40969</v>
      </c>
      <c r="C46" s="244">
        <f t="shared" si="26"/>
        <v>41003</v>
      </c>
      <c r="D46" s="244">
        <f t="shared" si="26"/>
        <v>41018</v>
      </c>
      <c r="E46" s="71" t="s">
        <v>136</v>
      </c>
      <c r="F46" s="3">
        <v>9</v>
      </c>
      <c r="G46" s="73">
        <v>479</v>
      </c>
      <c r="H46" s="249">
        <f t="shared" si="42"/>
        <v>1.45</v>
      </c>
      <c r="I46" s="249">
        <f t="shared" si="9"/>
        <v>1.93</v>
      </c>
      <c r="J46" s="56">
        <f t="shared" si="10"/>
        <v>924.4699999999999</v>
      </c>
      <c r="K46" s="57">
        <f t="shared" si="34"/>
        <v>694.55</v>
      </c>
      <c r="L46" s="58">
        <f>+J46-K46</f>
        <v>229.91999999999996</v>
      </c>
      <c r="M46" s="55">
        <f t="shared" si="40"/>
        <v>9.107607375308062</v>
      </c>
      <c r="N46" s="29">
        <f>SUM(L46:M46)</f>
        <v>239.027607375308</v>
      </c>
      <c r="O46" s="16">
        <f aca="true" t="shared" si="45" ref="O46:U46">IF($D46&lt;O$8,O$12,IF($D46&lt;P$8,P$8-$D46,0))</f>
        <v>0</v>
      </c>
      <c r="P46" s="16">
        <f t="shared" si="45"/>
        <v>73</v>
      </c>
      <c r="Q46" s="16">
        <f t="shared" si="45"/>
        <v>92</v>
      </c>
      <c r="R46" s="16">
        <f t="shared" si="45"/>
        <v>92</v>
      </c>
      <c r="S46" s="16">
        <f t="shared" si="45"/>
        <v>90</v>
      </c>
      <c r="T46" s="16">
        <f t="shared" si="45"/>
        <v>91</v>
      </c>
      <c r="U46" s="16">
        <f t="shared" si="45"/>
        <v>0</v>
      </c>
      <c r="V46" s="110">
        <f>IF(W$8&lt;V$8,0,IF($D46&lt;V$8,V$12,IF($D46&lt;W$8,W$8-$D46,0)))</f>
        <v>0</v>
      </c>
      <c r="W46" s="154">
        <f>$L46*O$11*O46</f>
        <v>0</v>
      </c>
      <c r="X46" s="63">
        <f>($L46+SUM($W46:W46))*(P$11*P46)</f>
        <v>1.4944799999999996</v>
      </c>
      <c r="Y46" s="63">
        <f>($L46+SUM($W46:X46))*(Q$11*Q46)</f>
        <v>1.8956966991780817</v>
      </c>
      <c r="Z46" s="63">
        <f>($L46+SUM($W46:Y46))*(R$11*R46)</f>
        <v>1.9112258310425816</v>
      </c>
      <c r="AA46" s="63">
        <f>($L46+SUM($W46:Z46))*(S$11*S46)</f>
        <v>1.8849934312353294</v>
      </c>
      <c r="AB46" s="63">
        <f>($L46+SUM($W46:AA46))*(T$11*T46)</f>
        <v>1.921211413852071</v>
      </c>
      <c r="AC46" s="63">
        <f>($L46+SUM($W46:AB46))*(U$11*U46)</f>
        <v>0</v>
      </c>
      <c r="AD46" s="63">
        <f>($L46+SUM($W46:AB46))*(V$11*V46)</f>
        <v>0</v>
      </c>
      <c r="AE46" s="114">
        <f t="shared" si="43"/>
        <v>9.107607375308062</v>
      </c>
    </row>
    <row r="47" spans="1:31" ht="12.75">
      <c r="A47" s="16">
        <v>4</v>
      </c>
      <c r="B47" s="15">
        <f t="shared" si="17"/>
        <v>41000</v>
      </c>
      <c r="C47" s="244">
        <f t="shared" si="26"/>
        <v>41032</v>
      </c>
      <c r="D47" s="244">
        <f t="shared" si="26"/>
        <v>41047</v>
      </c>
      <c r="E47" s="71" t="s">
        <v>136</v>
      </c>
      <c r="F47" s="3">
        <v>9</v>
      </c>
      <c r="G47" s="73">
        <v>476</v>
      </c>
      <c r="H47" s="249">
        <f t="shared" si="42"/>
        <v>1.45</v>
      </c>
      <c r="I47" s="249">
        <f t="shared" si="9"/>
        <v>1.93</v>
      </c>
      <c r="J47" s="56">
        <f t="shared" si="10"/>
        <v>918.68</v>
      </c>
      <c r="K47" s="57">
        <f t="shared" si="34"/>
        <v>690.1999999999999</v>
      </c>
      <c r="L47" s="58">
        <f aca="true" t="shared" si="46" ref="L47:L57">+J47-K47</f>
        <v>228.48000000000002</v>
      </c>
      <c r="M47" s="55">
        <f t="shared" si="40"/>
        <v>8.44117754272493</v>
      </c>
      <c r="N47" s="29">
        <f aca="true" t="shared" si="47" ref="N47:N57">SUM(L47:M47)</f>
        <v>236.92117754272493</v>
      </c>
      <c r="O47" s="16">
        <f t="shared" si="28"/>
        <v>0</v>
      </c>
      <c r="P47" s="16">
        <f t="shared" si="29"/>
        <v>44</v>
      </c>
      <c r="Q47" s="16">
        <f t="shared" si="30"/>
        <v>92</v>
      </c>
      <c r="R47" s="16">
        <f t="shared" si="31"/>
        <v>92</v>
      </c>
      <c r="S47" s="16">
        <f t="shared" si="31"/>
        <v>90</v>
      </c>
      <c r="T47" s="16">
        <f t="shared" si="31"/>
        <v>91</v>
      </c>
      <c r="U47" s="16">
        <f t="shared" si="31"/>
        <v>0</v>
      </c>
      <c r="V47" s="110">
        <f t="shared" si="18"/>
        <v>0</v>
      </c>
      <c r="W47" s="154">
        <f t="shared" si="44"/>
        <v>0</v>
      </c>
      <c r="X47" s="63">
        <f>($L47+SUM($W47:W47))*(P$11*P47)</f>
        <v>0.8951408219178082</v>
      </c>
      <c r="Y47" s="63">
        <f>($L47+SUM($W47:X47))*(Q$11*Q47)</f>
        <v>1.8789908796096828</v>
      </c>
      <c r="Z47" s="63">
        <f>($L47+SUM($W47:Y47))*(R$11*R47)</f>
        <v>1.8943831610618278</v>
      </c>
      <c r="AA47" s="63">
        <f>($L47+SUM($W47:Z47))*(S$11*S47)</f>
        <v>1.8683819341728047</v>
      </c>
      <c r="AB47" s="63">
        <f>($L47+SUM($W47:AA47))*(T$11*T47)</f>
        <v>1.9042807459628057</v>
      </c>
      <c r="AC47" s="63">
        <f>($L47+SUM($W47:AB47))*(U$11*U47)</f>
        <v>0</v>
      </c>
      <c r="AD47" s="63">
        <f>($L47+SUM($W47:AB47))*(V$11*V47)</f>
        <v>0</v>
      </c>
      <c r="AE47" s="114">
        <f t="shared" si="43"/>
        <v>8.44117754272493</v>
      </c>
    </row>
    <row r="48" spans="1:31" ht="12.75">
      <c r="A48" s="3">
        <v>5</v>
      </c>
      <c r="B48" s="15">
        <f t="shared" si="17"/>
        <v>41030</v>
      </c>
      <c r="C48" s="244">
        <f t="shared" si="26"/>
        <v>41065</v>
      </c>
      <c r="D48" s="244">
        <f t="shared" si="26"/>
        <v>41080</v>
      </c>
      <c r="E48" s="30" t="s">
        <v>136</v>
      </c>
      <c r="F48" s="3">
        <v>9</v>
      </c>
      <c r="G48" s="73">
        <v>711</v>
      </c>
      <c r="H48" s="249">
        <f t="shared" si="42"/>
        <v>1.45</v>
      </c>
      <c r="I48" s="249">
        <f t="shared" si="9"/>
        <v>1.93</v>
      </c>
      <c r="J48" s="56">
        <f t="shared" si="10"/>
        <v>1372.23</v>
      </c>
      <c r="K48" s="57">
        <f t="shared" si="34"/>
        <v>1030.95</v>
      </c>
      <c r="L48" s="58">
        <f t="shared" si="46"/>
        <v>341.28</v>
      </c>
      <c r="M48" s="55">
        <f t="shared" si="40"/>
        <v>11.57277300381476</v>
      </c>
      <c r="N48" s="29">
        <f t="shared" si="47"/>
        <v>352.8527730038147</v>
      </c>
      <c r="O48" s="16">
        <f t="shared" si="28"/>
        <v>0</v>
      </c>
      <c r="P48" s="16">
        <f t="shared" si="29"/>
        <v>11</v>
      </c>
      <c r="Q48" s="16">
        <f t="shared" si="30"/>
        <v>92</v>
      </c>
      <c r="R48" s="16">
        <f aca="true" t="shared" si="48" ref="R48:U62">IF($D48&lt;R$8,R$12,IF($D48&lt;S$8,S$8-$D48,0))</f>
        <v>92</v>
      </c>
      <c r="S48" s="16">
        <f t="shared" si="48"/>
        <v>90</v>
      </c>
      <c r="T48" s="16">
        <f t="shared" si="48"/>
        <v>91</v>
      </c>
      <c r="U48" s="16">
        <f t="shared" si="48"/>
        <v>0</v>
      </c>
      <c r="V48" s="110">
        <f t="shared" si="18"/>
        <v>0</v>
      </c>
      <c r="W48" s="154">
        <f t="shared" si="44"/>
        <v>0</v>
      </c>
      <c r="X48" s="63">
        <f>($L48+SUM($W48:W48))*(P$11*P48)</f>
        <v>0.33426739726027394</v>
      </c>
      <c r="Y48" s="63">
        <f>($L48+SUM($W48:X48))*(Q$11*Q48)</f>
        <v>2.798429204158378</v>
      </c>
      <c r="Z48" s="63">
        <f>($L48+SUM($W48:Y48))*(R$11*R48)</f>
        <v>2.8213533228444976</v>
      </c>
      <c r="AA48" s="63">
        <f>($L48+SUM($W48:Z48))*(S$11*S48)</f>
        <v>2.7826290302149848</v>
      </c>
      <c r="AB48" s="63">
        <f>($L48+SUM($W48:AA48))*(T$11*T48)</f>
        <v>2.8360940493366273</v>
      </c>
      <c r="AC48" s="63">
        <f>($L48+SUM($W48:AB48))*(U$11*U48)</f>
        <v>0</v>
      </c>
      <c r="AD48" s="63">
        <f>($L48+SUM($W48:AB48))*(V$11*V48)</f>
        <v>0</v>
      </c>
      <c r="AE48" s="114">
        <f t="shared" si="43"/>
        <v>11.57277300381476</v>
      </c>
    </row>
    <row r="49" spans="1:31" ht="12.75">
      <c r="A49" s="3">
        <v>6</v>
      </c>
      <c r="B49" s="15">
        <f t="shared" si="17"/>
        <v>41061</v>
      </c>
      <c r="C49" s="244">
        <f t="shared" si="26"/>
        <v>41095</v>
      </c>
      <c r="D49" s="244">
        <f t="shared" si="26"/>
        <v>41110</v>
      </c>
      <c r="E49" s="30" t="s">
        <v>136</v>
      </c>
      <c r="F49" s="3">
        <v>9</v>
      </c>
      <c r="G49" s="73">
        <v>868</v>
      </c>
      <c r="H49" s="249">
        <f t="shared" si="42"/>
        <v>1.45</v>
      </c>
      <c r="I49" s="249">
        <f t="shared" si="9"/>
        <v>1.93</v>
      </c>
      <c r="J49" s="56">
        <f t="shared" si="10"/>
        <v>1675.24</v>
      </c>
      <c r="K49" s="57">
        <f t="shared" si="34"/>
        <v>1258.6</v>
      </c>
      <c r="L49" s="79">
        <f t="shared" si="46"/>
        <v>416.6400000000001</v>
      </c>
      <c r="M49" s="80">
        <f t="shared" si="40"/>
        <v>12.984582862831388</v>
      </c>
      <c r="N49" s="78">
        <f t="shared" si="47"/>
        <v>429.6245828628315</v>
      </c>
      <c r="O49" s="16">
        <f t="shared" si="28"/>
        <v>0</v>
      </c>
      <c r="P49" s="16">
        <f t="shared" si="29"/>
        <v>0</v>
      </c>
      <c r="Q49" s="16">
        <f t="shared" si="30"/>
        <v>73</v>
      </c>
      <c r="R49" s="16">
        <f t="shared" si="48"/>
        <v>92</v>
      </c>
      <c r="S49" s="16">
        <f t="shared" si="48"/>
        <v>90</v>
      </c>
      <c r="T49" s="16">
        <f t="shared" si="48"/>
        <v>91</v>
      </c>
      <c r="U49" s="16">
        <f t="shared" si="48"/>
        <v>0</v>
      </c>
      <c r="V49" s="110">
        <f t="shared" si="18"/>
        <v>0</v>
      </c>
      <c r="W49" s="154">
        <f t="shared" si="44"/>
        <v>0</v>
      </c>
      <c r="X49" s="63">
        <f>($L49+SUM($W49:W49))*(P$11*P49)</f>
        <v>0</v>
      </c>
      <c r="Y49" s="63">
        <f>($L49+SUM($W49:X49))*(Q$11*Q49)</f>
        <v>2.7081600000000003</v>
      </c>
      <c r="Z49" s="63">
        <f>($L49+SUM($W49:Y49))*(R$11*R49)</f>
        <v>3.435208214794521</v>
      </c>
      <c r="AA49" s="63">
        <f>($L49+SUM($W49:Z49))*(S$11*S49)</f>
        <v>3.3880584987076006</v>
      </c>
      <c r="AB49" s="63">
        <f>($L49+SUM($W49:AA49))*(T$11*T49)</f>
        <v>3.453156149329268</v>
      </c>
      <c r="AC49" s="63">
        <f>($L49+SUM($W49:AB49))*(U$11*U49)</f>
        <v>0</v>
      </c>
      <c r="AD49" s="63">
        <f>($L49+SUM($W49:AB49))*(V$11*V49)</f>
        <v>0</v>
      </c>
      <c r="AE49" s="114">
        <f t="shared" si="43"/>
        <v>12.984582862831388</v>
      </c>
    </row>
    <row r="50" spans="1:31" ht="12.75">
      <c r="A50" s="16">
        <v>7</v>
      </c>
      <c r="B50" s="15">
        <f t="shared" si="17"/>
        <v>41091</v>
      </c>
      <c r="C50" s="244">
        <f t="shared" si="26"/>
        <v>41124</v>
      </c>
      <c r="D50" s="244">
        <f t="shared" si="26"/>
        <v>41141</v>
      </c>
      <c r="E50" s="30" t="s">
        <v>136</v>
      </c>
      <c r="F50" s="3">
        <v>9</v>
      </c>
      <c r="G50" s="73">
        <v>837</v>
      </c>
      <c r="H50" s="249">
        <f aca="true" t="shared" si="49" ref="H50:H55">$K$8</f>
        <v>1.14</v>
      </c>
      <c r="I50" s="249">
        <f aca="true" t="shared" si="50" ref="I50:I55">J$8</f>
        <v>1.93</v>
      </c>
      <c r="J50" s="56">
        <f t="shared" si="10"/>
        <v>1615.4099999999999</v>
      </c>
      <c r="K50" s="57">
        <f t="shared" si="34"/>
        <v>954.18</v>
      </c>
      <c r="L50" s="79">
        <f t="shared" si="46"/>
        <v>661.2299999999999</v>
      </c>
      <c r="M50" s="77">
        <f t="shared" si="40"/>
        <v>18.73732542099645</v>
      </c>
      <c r="N50" s="78">
        <f t="shared" si="47"/>
        <v>679.9673254209963</v>
      </c>
      <c r="O50" s="16">
        <f t="shared" si="28"/>
        <v>0</v>
      </c>
      <c r="P50" s="16">
        <f t="shared" si="29"/>
        <v>0</v>
      </c>
      <c r="Q50" s="16">
        <f t="shared" si="30"/>
        <v>42</v>
      </c>
      <c r="R50" s="16">
        <f t="shared" si="48"/>
        <v>92</v>
      </c>
      <c r="S50" s="16">
        <f t="shared" si="48"/>
        <v>90</v>
      </c>
      <c r="T50" s="16">
        <f t="shared" si="48"/>
        <v>91</v>
      </c>
      <c r="U50" s="16">
        <f t="shared" si="48"/>
        <v>0</v>
      </c>
      <c r="V50" s="110">
        <f t="shared" si="18"/>
        <v>0</v>
      </c>
      <c r="W50" s="154">
        <f t="shared" si="44"/>
        <v>0</v>
      </c>
      <c r="X50" s="63">
        <f>($L50+SUM($W50:W50))*(P$11*P50)</f>
        <v>0</v>
      </c>
      <c r="Y50" s="63">
        <f>($L50+SUM($W50:X50))*(Q$11*Q50)</f>
        <v>2.47281904109589</v>
      </c>
      <c r="Z50" s="63">
        <f>($L50+SUM($W50:Y50))*(R$11*R50)</f>
        <v>5.436908024473634</v>
      </c>
      <c r="AA50" s="63">
        <f>($L50+SUM($W50:Z50))*(S$11*S50)</f>
        <v>5.362284114155591</v>
      </c>
      <c r="AB50" s="63">
        <f>($L50+SUM($W50:AA50))*(T$11*T50)</f>
        <v>5.465314241271334</v>
      </c>
      <c r="AC50" s="63">
        <f>($L50+SUM($W50:AB50))*(U$11*U50)</f>
        <v>0</v>
      </c>
      <c r="AD50" s="63">
        <f>($L50+SUM($W50:AB50))*(V$11*V50)</f>
        <v>0</v>
      </c>
      <c r="AE50" s="114">
        <f aca="true" t="shared" si="51" ref="AE50:AE55">SUM(W50:AD50)</f>
        <v>18.73732542099645</v>
      </c>
    </row>
    <row r="51" spans="1:31" ht="12.75">
      <c r="A51" s="3">
        <v>8</v>
      </c>
      <c r="B51" s="15">
        <f t="shared" si="17"/>
        <v>41122</v>
      </c>
      <c r="C51" s="244">
        <f t="shared" si="26"/>
        <v>41158</v>
      </c>
      <c r="D51" s="244">
        <f t="shared" si="26"/>
        <v>41173</v>
      </c>
      <c r="E51" s="30" t="s">
        <v>136</v>
      </c>
      <c r="F51" s="3">
        <v>9</v>
      </c>
      <c r="G51" s="73">
        <v>841</v>
      </c>
      <c r="H51" s="249">
        <f t="shared" si="49"/>
        <v>1.14</v>
      </c>
      <c r="I51" s="249">
        <f t="shared" si="50"/>
        <v>1.93</v>
      </c>
      <c r="J51" s="56">
        <f t="shared" si="10"/>
        <v>1623.1299999999999</v>
      </c>
      <c r="K51" s="57">
        <f t="shared" si="34"/>
        <v>958.7399999999999</v>
      </c>
      <c r="L51" s="79">
        <f t="shared" si="46"/>
        <v>664.39</v>
      </c>
      <c r="M51" s="77">
        <f t="shared" si="40"/>
        <v>16.887423460780703</v>
      </c>
      <c r="N51" s="78">
        <f t="shared" si="47"/>
        <v>681.2774234607807</v>
      </c>
      <c r="O51" s="16">
        <f t="shared" si="28"/>
        <v>0</v>
      </c>
      <c r="P51" s="16">
        <f t="shared" si="29"/>
        <v>0</v>
      </c>
      <c r="Q51" s="16">
        <f t="shared" si="30"/>
        <v>10</v>
      </c>
      <c r="R51" s="16">
        <f t="shared" si="48"/>
        <v>92</v>
      </c>
      <c r="S51" s="16">
        <f t="shared" si="48"/>
        <v>90</v>
      </c>
      <c r="T51" s="16">
        <f t="shared" si="48"/>
        <v>91</v>
      </c>
      <c r="U51" s="16">
        <f t="shared" si="48"/>
        <v>0</v>
      </c>
      <c r="V51" s="110">
        <f t="shared" si="18"/>
        <v>0</v>
      </c>
      <c r="W51" s="154">
        <f t="shared" si="44"/>
        <v>0</v>
      </c>
      <c r="X51" s="63">
        <f>($L51+SUM($W51:W51))*(P$11*P51)</f>
        <v>0</v>
      </c>
      <c r="Y51" s="63">
        <f>($L51+SUM($W51:X51))*(Q$11*Q51)</f>
        <v>0.5915801369863013</v>
      </c>
      <c r="Z51" s="63">
        <f>($L51+SUM($W51:Y51))*(R$11*R51)</f>
        <v>5.447383355094764</v>
      </c>
      <c r="AA51" s="63">
        <f>($L51+SUM($W51:Z51))*(S$11*S51)</f>
        <v>5.372615666340649</v>
      </c>
      <c r="AB51" s="63">
        <f>($L51+SUM($W51:AA51))*(T$11*T51)</f>
        <v>5.4758443023589916</v>
      </c>
      <c r="AC51" s="63">
        <f>($L51+SUM($W51:AB51))*(U$11*U51)</f>
        <v>0</v>
      </c>
      <c r="AD51" s="63">
        <f>($L51+SUM($W51:AB51))*(V$11*V51)</f>
        <v>0</v>
      </c>
      <c r="AE51" s="114">
        <f t="shared" si="51"/>
        <v>16.887423460780703</v>
      </c>
    </row>
    <row r="52" spans="1:31" ht="12.75">
      <c r="A52" s="3">
        <v>9</v>
      </c>
      <c r="B52" s="15">
        <f t="shared" si="17"/>
        <v>41153</v>
      </c>
      <c r="C52" s="244">
        <f aca="true" t="shared" si="52" ref="C52:D71">+C40</f>
        <v>41185</v>
      </c>
      <c r="D52" s="244">
        <f t="shared" si="52"/>
        <v>41200</v>
      </c>
      <c r="E52" s="30" t="s">
        <v>136</v>
      </c>
      <c r="F52" s="3">
        <v>9</v>
      </c>
      <c r="G52" s="73">
        <v>818</v>
      </c>
      <c r="H52" s="249">
        <f t="shared" si="49"/>
        <v>1.14</v>
      </c>
      <c r="I52" s="249">
        <f t="shared" si="50"/>
        <v>1.93</v>
      </c>
      <c r="J52" s="56">
        <f t="shared" si="10"/>
        <v>1578.74</v>
      </c>
      <c r="K52" s="57">
        <f t="shared" si="34"/>
        <v>932.5199999999999</v>
      </c>
      <c r="L52" s="79">
        <f t="shared" si="46"/>
        <v>646.2200000000001</v>
      </c>
      <c r="M52" s="77">
        <f t="shared" si="40"/>
        <v>14.842066890299558</v>
      </c>
      <c r="N52" s="78">
        <f t="shared" si="47"/>
        <v>661.0620668902997</v>
      </c>
      <c r="O52" s="16">
        <f t="shared" si="28"/>
        <v>0</v>
      </c>
      <c r="P52" s="16">
        <f t="shared" si="29"/>
        <v>0</v>
      </c>
      <c r="Q52" s="16">
        <f t="shared" si="30"/>
        <v>0</v>
      </c>
      <c r="R52" s="16">
        <f t="shared" si="48"/>
        <v>75</v>
      </c>
      <c r="S52" s="16">
        <f t="shared" si="48"/>
        <v>90</v>
      </c>
      <c r="T52" s="16">
        <f t="shared" si="48"/>
        <v>91</v>
      </c>
      <c r="U52" s="16">
        <f t="shared" si="48"/>
        <v>0</v>
      </c>
      <c r="V52" s="110">
        <f t="shared" si="18"/>
        <v>0</v>
      </c>
      <c r="W52" s="154">
        <f t="shared" si="4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4.3155102739726034</v>
      </c>
      <c r="AA52" s="63">
        <f>($L52+SUM($W52:Z52))*(S$11*S52)</f>
        <v>5.213195527538</v>
      </c>
      <c r="AB52" s="63">
        <f>($L52+SUM($W52:AA52))*(T$11*T52)</f>
        <v>5.3133610887889535</v>
      </c>
      <c r="AC52" s="63">
        <f>($L52+SUM($W52:AB52))*(U$11*U52)</f>
        <v>0</v>
      </c>
      <c r="AD52" s="63">
        <f>($L52+SUM($W52:AB52))*(V$11*V52)</f>
        <v>0</v>
      </c>
      <c r="AE52" s="114">
        <f t="shared" si="51"/>
        <v>14.842066890299558</v>
      </c>
    </row>
    <row r="53" spans="1:31" ht="12.75">
      <c r="A53" s="16">
        <v>10</v>
      </c>
      <c r="B53" s="15">
        <f t="shared" si="17"/>
        <v>41183</v>
      </c>
      <c r="C53" s="244">
        <f t="shared" si="52"/>
        <v>41218</v>
      </c>
      <c r="D53" s="244">
        <f t="shared" si="52"/>
        <v>41233</v>
      </c>
      <c r="E53" s="30" t="s">
        <v>136</v>
      </c>
      <c r="F53" s="3">
        <v>9</v>
      </c>
      <c r="G53" s="73">
        <v>456</v>
      </c>
      <c r="H53" s="249">
        <f t="shared" si="49"/>
        <v>1.14</v>
      </c>
      <c r="I53" s="249">
        <f t="shared" si="50"/>
        <v>1.93</v>
      </c>
      <c r="J53" s="56">
        <f t="shared" si="10"/>
        <v>880.0799999999999</v>
      </c>
      <c r="K53" s="57">
        <f t="shared" si="34"/>
        <v>519.8399999999999</v>
      </c>
      <c r="L53" s="79">
        <f t="shared" si="46"/>
        <v>360.24</v>
      </c>
      <c r="M53" s="77">
        <f t="shared" si="40"/>
        <v>7.198175616203564</v>
      </c>
      <c r="N53" s="78">
        <f t="shared" si="47"/>
        <v>367.4381756162036</v>
      </c>
      <c r="O53" s="16">
        <f t="shared" si="28"/>
        <v>0</v>
      </c>
      <c r="P53" s="16">
        <f t="shared" si="29"/>
        <v>0</v>
      </c>
      <c r="Q53" s="16">
        <f t="shared" si="30"/>
        <v>0</v>
      </c>
      <c r="R53" s="16">
        <f t="shared" si="48"/>
        <v>42</v>
      </c>
      <c r="S53" s="16">
        <f t="shared" si="48"/>
        <v>90</v>
      </c>
      <c r="T53" s="16">
        <f t="shared" si="48"/>
        <v>91</v>
      </c>
      <c r="U53" s="16">
        <f t="shared" si="48"/>
        <v>0</v>
      </c>
      <c r="V53" s="110">
        <f t="shared" si="18"/>
        <v>0</v>
      </c>
      <c r="W53" s="154">
        <f t="shared" si="4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1.347198904109589</v>
      </c>
      <c r="AA53" s="63">
        <f>($L53+SUM($W53:Z53))*(S$11*S53)</f>
        <v>2.8976508405329326</v>
      </c>
      <c r="AB53" s="63">
        <f>($L53+SUM($W53:AA53))*(T$11*T53)</f>
        <v>2.953325871561042</v>
      </c>
      <c r="AC53" s="63">
        <f>($L53+SUM($W53:AB53))*(U$11*U53)</f>
        <v>0</v>
      </c>
      <c r="AD53" s="63">
        <f>($L53+SUM($W53:AB53))*(V$11*V53)</f>
        <v>0</v>
      </c>
      <c r="AE53" s="114">
        <f t="shared" si="51"/>
        <v>7.198175616203564</v>
      </c>
    </row>
    <row r="54" spans="1:31" ht="12.75">
      <c r="A54" s="3">
        <v>11</v>
      </c>
      <c r="B54" s="15">
        <f t="shared" si="17"/>
        <v>41214</v>
      </c>
      <c r="C54" s="244">
        <f t="shared" si="52"/>
        <v>41248</v>
      </c>
      <c r="D54" s="244">
        <f t="shared" si="52"/>
        <v>41263</v>
      </c>
      <c r="E54" s="30" t="s">
        <v>136</v>
      </c>
      <c r="F54" s="3">
        <v>9</v>
      </c>
      <c r="G54" s="73">
        <v>548</v>
      </c>
      <c r="H54" s="249">
        <f t="shared" si="49"/>
        <v>1.14</v>
      </c>
      <c r="I54" s="249">
        <f t="shared" si="50"/>
        <v>1.93</v>
      </c>
      <c r="J54" s="56">
        <f t="shared" si="10"/>
        <v>1057.6399999999999</v>
      </c>
      <c r="K54" s="57">
        <f t="shared" si="34"/>
        <v>624.7199999999999</v>
      </c>
      <c r="L54" s="79">
        <f t="shared" si="46"/>
        <v>432.91999999999996</v>
      </c>
      <c r="M54" s="77">
        <f t="shared" si="40"/>
        <v>7.475296355337153</v>
      </c>
      <c r="N54" s="78">
        <f t="shared" si="47"/>
        <v>440.3952963553371</v>
      </c>
      <c r="O54" s="16">
        <f t="shared" si="28"/>
        <v>0</v>
      </c>
      <c r="P54" s="16">
        <f t="shared" si="29"/>
        <v>0</v>
      </c>
      <c r="Q54" s="16">
        <f t="shared" si="30"/>
        <v>0</v>
      </c>
      <c r="R54" s="16">
        <f t="shared" si="48"/>
        <v>12</v>
      </c>
      <c r="S54" s="16">
        <f t="shared" si="48"/>
        <v>90</v>
      </c>
      <c r="T54" s="16">
        <f t="shared" si="48"/>
        <v>91</v>
      </c>
      <c r="U54" s="16">
        <f t="shared" si="48"/>
        <v>0</v>
      </c>
      <c r="V54" s="110">
        <f t="shared" si="18"/>
        <v>0</v>
      </c>
      <c r="W54" s="154">
        <f t="shared" si="4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0.4625720547945205</v>
      </c>
      <c r="AA54" s="63">
        <f>($L54+SUM($W54:Z54))*(S$11*S54)</f>
        <v>3.47299732400075</v>
      </c>
      <c r="AB54" s="63">
        <f>($L54+SUM($W54:AA54))*(T$11*T54)</f>
        <v>3.539726976541882</v>
      </c>
      <c r="AC54" s="63">
        <f>($L54+SUM($W54:AB54))*(U$11*U54)</f>
        <v>0</v>
      </c>
      <c r="AD54" s="63">
        <f>($L54+SUM($W54:AB54))*(V$11*V54)</f>
        <v>0</v>
      </c>
      <c r="AE54" s="114">
        <f t="shared" si="51"/>
        <v>7.475296355337153</v>
      </c>
    </row>
    <row r="55" spans="1:31" s="70" customFormat="1" ht="12.75">
      <c r="A55" s="3">
        <v>12</v>
      </c>
      <c r="B55" s="86">
        <f t="shared" si="17"/>
        <v>41244</v>
      </c>
      <c r="C55" s="244">
        <f t="shared" si="52"/>
        <v>41278</v>
      </c>
      <c r="D55" s="244">
        <f t="shared" si="52"/>
        <v>41295</v>
      </c>
      <c r="E55" s="87" t="s">
        <v>136</v>
      </c>
      <c r="F55" s="83">
        <v>9</v>
      </c>
      <c r="G55" s="88">
        <v>605</v>
      </c>
      <c r="H55" s="250">
        <f t="shared" si="49"/>
        <v>1.14</v>
      </c>
      <c r="I55" s="250">
        <f t="shared" si="50"/>
        <v>1.93</v>
      </c>
      <c r="J55" s="89">
        <f t="shared" si="10"/>
        <v>1167.6499999999999</v>
      </c>
      <c r="K55" s="308">
        <f t="shared" si="34"/>
        <v>689.6999999999999</v>
      </c>
      <c r="L55" s="91">
        <f t="shared" si="46"/>
        <v>477.94999999999993</v>
      </c>
      <c r="M55" s="92">
        <f t="shared" si="40"/>
        <v>6.875845966105272</v>
      </c>
      <c r="N55" s="93">
        <f t="shared" si="47"/>
        <v>484.8258459661052</v>
      </c>
      <c r="O55" s="83">
        <f t="shared" si="28"/>
        <v>0</v>
      </c>
      <c r="P55" s="83">
        <f t="shared" si="29"/>
        <v>0</v>
      </c>
      <c r="Q55" s="83">
        <f t="shared" si="30"/>
        <v>0</v>
      </c>
      <c r="R55" s="83">
        <f t="shared" si="48"/>
        <v>0</v>
      </c>
      <c r="S55" s="83">
        <f t="shared" si="48"/>
        <v>70</v>
      </c>
      <c r="T55" s="83">
        <f t="shared" si="48"/>
        <v>91</v>
      </c>
      <c r="U55" s="83">
        <f t="shared" si="48"/>
        <v>0</v>
      </c>
      <c r="V55" s="111">
        <f t="shared" si="18"/>
        <v>0</v>
      </c>
      <c r="W55" s="155">
        <f t="shared" si="44"/>
        <v>0</v>
      </c>
      <c r="X55" s="94">
        <f>($L55+SUM($W55:W55))*(P$11*P55)</f>
        <v>0</v>
      </c>
      <c r="Y55" s="94">
        <f>($L55+SUM($W55:X55))*(Q$11*Q55)</f>
        <v>0</v>
      </c>
      <c r="Z55" s="94">
        <f>($L55+SUM($W55:Y55))*(R$11*R55)</f>
        <v>0</v>
      </c>
      <c r="AA55" s="94">
        <f>($L55+SUM($W55:Z55))*(S$11*S55)</f>
        <v>2.9790034246575336</v>
      </c>
      <c r="AB55" s="94">
        <f>($L55+SUM($W55:AA55))*(T$11*T55)</f>
        <v>3.8968425414477386</v>
      </c>
      <c r="AC55" s="94">
        <f>($L55+SUM($W55:AB55))*(U$11*U55)</f>
        <v>0</v>
      </c>
      <c r="AD55" s="94">
        <f>($L55+SUM($W55:AB55))*(V$11*V55)</f>
        <v>0</v>
      </c>
      <c r="AE55" s="115">
        <f t="shared" si="51"/>
        <v>6.875845966105272</v>
      </c>
    </row>
    <row r="56" spans="1:31" s="13" customFormat="1" ht="12.75" customHeight="1">
      <c r="A56" s="16">
        <v>1</v>
      </c>
      <c r="B56" s="15">
        <f t="shared" si="17"/>
        <v>40909</v>
      </c>
      <c r="C56" s="243">
        <f t="shared" si="52"/>
        <v>40942</v>
      </c>
      <c r="D56" s="243">
        <f t="shared" si="52"/>
        <v>40959</v>
      </c>
      <c r="E56" s="122" t="s">
        <v>118</v>
      </c>
      <c r="F56" s="16">
        <v>9</v>
      </c>
      <c r="G56" s="73">
        <v>35</v>
      </c>
      <c r="H56" s="249">
        <f aca="true" t="shared" si="53" ref="H56:H61">$K$3</f>
        <v>1.45</v>
      </c>
      <c r="I56" s="249">
        <f t="shared" si="9"/>
        <v>1.93</v>
      </c>
      <c r="J56" s="56">
        <f t="shared" si="10"/>
        <v>67.55</v>
      </c>
      <c r="K56" s="57">
        <f t="shared" si="34"/>
        <v>50.75</v>
      </c>
      <c r="L56" s="58">
        <f t="shared" si="46"/>
        <v>16.799999999999997</v>
      </c>
      <c r="M56" s="55">
        <f t="shared" si="40"/>
        <v>0.7571571468543414</v>
      </c>
      <c r="N56" s="29">
        <f t="shared" si="47"/>
        <v>17.557157146854337</v>
      </c>
      <c r="O56" s="16">
        <f t="shared" si="28"/>
        <v>41</v>
      </c>
      <c r="P56" s="16">
        <f t="shared" si="29"/>
        <v>91</v>
      </c>
      <c r="Q56" s="16">
        <f t="shared" si="30"/>
        <v>92</v>
      </c>
      <c r="R56" s="16">
        <f t="shared" si="48"/>
        <v>92</v>
      </c>
      <c r="S56" s="16">
        <f t="shared" si="48"/>
        <v>90</v>
      </c>
      <c r="T56" s="16">
        <f t="shared" si="48"/>
        <v>91</v>
      </c>
      <c r="U56" s="16">
        <f t="shared" si="48"/>
        <v>0</v>
      </c>
      <c r="V56" s="110">
        <f>IF(W$8&lt;V$8,0,IF($D56&lt;V$8,V$12,IF($D56&lt;W$8,W$8-$D56,0)))</f>
        <v>0</v>
      </c>
      <c r="W56" s="154">
        <f>$L56*O$11*O56</f>
        <v>0.06133150684931506</v>
      </c>
      <c r="X56" s="63">
        <f>($L56+SUM($W56:W56))*(P$11*P56)</f>
        <v>0.1366229806342653</v>
      </c>
      <c r="Y56" s="63">
        <f>($L56+SUM($W56:X56))*(Q$11*Q56)</f>
        <v>0.13924351758239972</v>
      </c>
      <c r="Z56" s="63">
        <f>($L56+SUM($W56:Y56))*(R$11*R56)</f>
        <v>0.14038416995930758</v>
      </c>
      <c r="AA56" s="63">
        <f>($L56+SUM($W56:Z56))*(S$11*S56)</f>
        <v>0.13845733660807932</v>
      </c>
      <c r="AB56" s="63">
        <f>($L56+SUM($W56:AA56))*(T$11*T56)</f>
        <v>0.14111763522097445</v>
      </c>
      <c r="AC56" s="63">
        <f>($L56+SUM($W56:AB56))*(U$11*U56)</f>
        <v>0</v>
      </c>
      <c r="AD56" s="63">
        <f>($L56+SUM($W56:AB56))*(V$11*V56)</f>
        <v>0</v>
      </c>
      <c r="AE56" s="114">
        <f aca="true" t="shared" si="54" ref="AE56:AE61">SUM(W56:AD56)</f>
        <v>0.7571571468543414</v>
      </c>
    </row>
    <row r="57" spans="1:31" ht="12.75">
      <c r="A57" s="3">
        <v>2</v>
      </c>
      <c r="B57" s="15">
        <f t="shared" si="17"/>
        <v>40940</v>
      </c>
      <c r="C57" s="244">
        <f t="shared" si="52"/>
        <v>40973</v>
      </c>
      <c r="D57" s="244">
        <f t="shared" si="52"/>
        <v>40988</v>
      </c>
      <c r="E57" s="71" t="s">
        <v>118</v>
      </c>
      <c r="F57" s="3">
        <v>9</v>
      </c>
      <c r="G57" s="73">
        <v>33</v>
      </c>
      <c r="H57" s="249">
        <f t="shared" si="53"/>
        <v>1.45</v>
      </c>
      <c r="I57" s="249">
        <f t="shared" si="9"/>
        <v>1.93</v>
      </c>
      <c r="J57" s="56">
        <f t="shared" si="10"/>
        <v>63.69</v>
      </c>
      <c r="K57" s="57">
        <f t="shared" si="34"/>
        <v>47.85</v>
      </c>
      <c r="L57" s="58">
        <f t="shared" si="46"/>
        <v>15.839999999999996</v>
      </c>
      <c r="M57" s="55">
        <f t="shared" si="40"/>
        <v>0.6713011849181165</v>
      </c>
      <c r="N57" s="29">
        <f t="shared" si="47"/>
        <v>16.511301184918114</v>
      </c>
      <c r="O57" s="16">
        <f t="shared" si="28"/>
        <v>12</v>
      </c>
      <c r="P57" s="16">
        <f t="shared" si="29"/>
        <v>91</v>
      </c>
      <c r="Q57" s="16">
        <f t="shared" si="30"/>
        <v>92</v>
      </c>
      <c r="R57" s="16">
        <f t="shared" si="48"/>
        <v>92</v>
      </c>
      <c r="S57" s="16">
        <f t="shared" si="48"/>
        <v>90</v>
      </c>
      <c r="T57" s="16">
        <f t="shared" si="48"/>
        <v>91</v>
      </c>
      <c r="U57" s="16">
        <f t="shared" si="48"/>
        <v>0</v>
      </c>
      <c r="V57" s="110">
        <f t="shared" si="18"/>
        <v>0</v>
      </c>
      <c r="W57" s="154">
        <f aca="true" t="shared" si="55" ref="W57:W67">$L57*O$11*O57</f>
        <v>0.01692493150684931</v>
      </c>
      <c r="X57" s="63">
        <f>($L57+SUM($W57:W57))*(P$11*P57)</f>
        <v>0.1284845355751548</v>
      </c>
      <c r="Y57" s="63">
        <f>($L57+SUM($W57:X57))*(Q$11*Q57)</f>
        <v>0.1309489707029457</v>
      </c>
      <c r="Z57" s="63">
        <f>($L57+SUM($W57:Y57))*(R$11*R57)</f>
        <v>0.13202167596979997</v>
      </c>
      <c r="AA57" s="63">
        <f>($L57+SUM($W57:Z57))*(S$11*S57)</f>
        <v>0.13020962145954143</v>
      </c>
      <c r="AB57" s="63">
        <f>($L57+SUM($W57:AA57))*(T$11*T57)</f>
        <v>0.13271144970382537</v>
      </c>
      <c r="AC57" s="63">
        <f>($L57+SUM($W57:AB57))*(U$11*U57)</f>
        <v>0</v>
      </c>
      <c r="AD57" s="63">
        <f>($L57+SUM($W57:AB57))*(V$11*V57)</f>
        <v>0</v>
      </c>
      <c r="AE57" s="114">
        <f t="shared" si="54"/>
        <v>0.6713011849181165</v>
      </c>
    </row>
    <row r="58" spans="1:31" ht="12.75">
      <c r="A58" s="3">
        <v>3</v>
      </c>
      <c r="B58" s="15">
        <f t="shared" si="17"/>
        <v>40969</v>
      </c>
      <c r="C58" s="244">
        <f t="shared" si="52"/>
        <v>41003</v>
      </c>
      <c r="D58" s="244">
        <f t="shared" si="52"/>
        <v>41018</v>
      </c>
      <c r="E58" s="71" t="s">
        <v>118</v>
      </c>
      <c r="F58" s="3">
        <v>9</v>
      </c>
      <c r="G58" s="73">
        <v>29</v>
      </c>
      <c r="H58" s="249">
        <f t="shared" si="53"/>
        <v>1.45</v>
      </c>
      <c r="I58" s="249">
        <f t="shared" si="9"/>
        <v>1.93</v>
      </c>
      <c r="J58" s="56">
        <f t="shared" si="10"/>
        <v>55.97</v>
      </c>
      <c r="K58" s="57">
        <f t="shared" si="34"/>
        <v>42.05</v>
      </c>
      <c r="L58" s="58">
        <f>+J58-K58</f>
        <v>13.920000000000002</v>
      </c>
      <c r="M58" s="55">
        <f t="shared" si="40"/>
        <v>0.5514000289852483</v>
      </c>
      <c r="N58" s="29">
        <f>SUM(L58:M58)</f>
        <v>14.47140002898525</v>
      </c>
      <c r="O58" s="16">
        <f t="shared" si="28"/>
        <v>0</v>
      </c>
      <c r="P58" s="16">
        <f t="shared" si="29"/>
        <v>73</v>
      </c>
      <c r="Q58" s="16">
        <f t="shared" si="30"/>
        <v>92</v>
      </c>
      <c r="R58" s="16">
        <f t="shared" si="48"/>
        <v>92</v>
      </c>
      <c r="S58" s="16">
        <f t="shared" si="48"/>
        <v>90</v>
      </c>
      <c r="T58" s="16">
        <f t="shared" si="48"/>
        <v>91</v>
      </c>
      <c r="U58" s="16">
        <f t="shared" si="48"/>
        <v>0</v>
      </c>
      <c r="V58" s="110">
        <f t="shared" si="18"/>
        <v>0</v>
      </c>
      <c r="W58" s="154">
        <f t="shared" si="55"/>
        <v>0</v>
      </c>
      <c r="X58" s="63">
        <f>($L58+SUM($W58:W58))*(P$11*P58)</f>
        <v>0.09048</v>
      </c>
      <c r="Y58" s="63">
        <f>($L58+SUM($W58:X58))*(Q$11*Q58)</f>
        <v>0.11477078136986302</v>
      </c>
      <c r="Z58" s="63">
        <f>($L58+SUM($W58:Y58))*(R$11*R58)</f>
        <v>0.11571095845560518</v>
      </c>
      <c r="AA58" s="63">
        <f>($L58+SUM($W58:Z58))*(S$11*S58)</f>
        <v>0.1141227755862726</v>
      </c>
      <c r="AB58" s="63">
        <f>($L58+SUM($W58:AA58))*(T$11*T58)</f>
        <v>0.11631551357350749</v>
      </c>
      <c r="AC58" s="63">
        <f>($L58+SUM($W58:AB58))*(U$11*U58)</f>
        <v>0</v>
      </c>
      <c r="AD58" s="63">
        <f>($L58+SUM($W58:AB58))*(V$11*V58)</f>
        <v>0</v>
      </c>
      <c r="AE58" s="114">
        <f t="shared" si="54"/>
        <v>0.5514000289852483</v>
      </c>
    </row>
    <row r="59" spans="1:31" ht="12" customHeight="1">
      <c r="A59" s="16">
        <v>4</v>
      </c>
      <c r="B59" s="15">
        <f t="shared" si="17"/>
        <v>41000</v>
      </c>
      <c r="C59" s="244">
        <f t="shared" si="52"/>
        <v>41032</v>
      </c>
      <c r="D59" s="244">
        <f t="shared" si="52"/>
        <v>41047</v>
      </c>
      <c r="E59" s="30" t="s">
        <v>118</v>
      </c>
      <c r="F59" s="3">
        <v>9</v>
      </c>
      <c r="G59" s="73">
        <v>28</v>
      </c>
      <c r="H59" s="249">
        <f t="shared" si="53"/>
        <v>1.45</v>
      </c>
      <c r="I59" s="249">
        <f t="shared" si="9"/>
        <v>1.93</v>
      </c>
      <c r="J59" s="56">
        <f t="shared" si="10"/>
        <v>54.04</v>
      </c>
      <c r="K59" s="57">
        <f t="shared" si="34"/>
        <v>40.6</v>
      </c>
      <c r="L59" s="58">
        <f aca="true" t="shared" si="56" ref="L59:L69">+J59-K59</f>
        <v>13.439999999999998</v>
      </c>
      <c r="M59" s="55">
        <f t="shared" si="40"/>
        <v>0.4965398554544075</v>
      </c>
      <c r="N59" s="29">
        <f aca="true" t="shared" si="57" ref="N59:N69">SUM(L59:M59)</f>
        <v>13.936539855454406</v>
      </c>
      <c r="O59" s="16">
        <f aca="true" t="shared" si="58" ref="O59:U59">IF($D59&lt;O$8,O$12,IF($D59&lt;P$8,P$8-$D59,0))</f>
        <v>0</v>
      </c>
      <c r="P59" s="16">
        <f t="shared" si="58"/>
        <v>44</v>
      </c>
      <c r="Q59" s="16">
        <f t="shared" si="58"/>
        <v>92</v>
      </c>
      <c r="R59" s="16">
        <f t="shared" si="58"/>
        <v>92</v>
      </c>
      <c r="S59" s="16">
        <f t="shared" si="58"/>
        <v>90</v>
      </c>
      <c r="T59" s="16">
        <f t="shared" si="58"/>
        <v>91</v>
      </c>
      <c r="U59" s="16">
        <f t="shared" si="58"/>
        <v>0</v>
      </c>
      <c r="V59" s="110">
        <f>IF(W$8&lt;V$8,0,IF($D59&lt;V$8,V$12,IF($D59&lt;W$8,W$8-$D59,0)))</f>
        <v>0</v>
      </c>
      <c r="W59" s="154">
        <f>$L59*O$11*O59</f>
        <v>0</v>
      </c>
      <c r="X59" s="63">
        <f>($L59+SUM($W59:W59))*(P$11*P59)</f>
        <v>0.052655342465753416</v>
      </c>
      <c r="Y59" s="63">
        <f>($L59+SUM($W59:X59))*(Q$11*Q59)</f>
        <v>0.11052887527115779</v>
      </c>
      <c r="Z59" s="63">
        <f>($L59+SUM($W59:Y59))*(R$11*R59)</f>
        <v>0.11143430359187219</v>
      </c>
      <c r="AA59" s="63">
        <f>($L59+SUM($W59:Z59))*(S$11*S59)</f>
        <v>0.10990481965722378</v>
      </c>
      <c r="AB59" s="63">
        <f>($L59+SUM($W59:AA59))*(T$11*T59)</f>
        <v>0.1120165144684003</v>
      </c>
      <c r="AC59" s="63">
        <f>($L59+SUM($W59:AB59))*(U$11*U59)</f>
        <v>0</v>
      </c>
      <c r="AD59" s="63">
        <f>($L59+SUM($W59:AB59))*(V$11*V59)</f>
        <v>0</v>
      </c>
      <c r="AE59" s="114">
        <f t="shared" si="54"/>
        <v>0.4965398554544075</v>
      </c>
    </row>
    <row r="60" spans="1:31" ht="12" customHeight="1">
      <c r="A60" s="3">
        <v>5</v>
      </c>
      <c r="B60" s="15">
        <f t="shared" si="17"/>
        <v>41030</v>
      </c>
      <c r="C60" s="244">
        <f t="shared" si="52"/>
        <v>41065</v>
      </c>
      <c r="D60" s="244">
        <f t="shared" si="52"/>
        <v>41080</v>
      </c>
      <c r="E60" s="30" t="s">
        <v>118</v>
      </c>
      <c r="F60" s="3">
        <v>9</v>
      </c>
      <c r="G60" s="73">
        <v>32</v>
      </c>
      <c r="H60" s="249">
        <f t="shared" si="53"/>
        <v>1.45</v>
      </c>
      <c r="I60" s="249">
        <f t="shared" si="9"/>
        <v>1.93</v>
      </c>
      <c r="J60" s="56">
        <f t="shared" si="10"/>
        <v>61.76</v>
      </c>
      <c r="K60" s="57">
        <f t="shared" si="34"/>
        <v>46.4</v>
      </c>
      <c r="L60" s="58">
        <f t="shared" si="56"/>
        <v>15.36</v>
      </c>
      <c r="M60" s="55">
        <f t="shared" si="40"/>
        <v>0.5208561689480625</v>
      </c>
      <c r="N60" s="29">
        <f t="shared" si="57"/>
        <v>15.880856168948062</v>
      </c>
      <c r="O60" s="16">
        <f t="shared" si="28"/>
        <v>0</v>
      </c>
      <c r="P60" s="16">
        <f t="shared" si="29"/>
        <v>11</v>
      </c>
      <c r="Q60" s="16">
        <f t="shared" si="30"/>
        <v>92</v>
      </c>
      <c r="R60" s="16">
        <f t="shared" si="48"/>
        <v>92</v>
      </c>
      <c r="S60" s="16">
        <f t="shared" si="48"/>
        <v>90</v>
      </c>
      <c r="T60" s="16">
        <f t="shared" si="48"/>
        <v>91</v>
      </c>
      <c r="U60" s="16">
        <f t="shared" si="48"/>
        <v>0</v>
      </c>
      <c r="V60" s="110">
        <f t="shared" si="18"/>
        <v>0</v>
      </c>
      <c r="W60" s="154">
        <f t="shared" si="55"/>
        <v>0</v>
      </c>
      <c r="X60" s="63">
        <f>($L60+SUM($W60:W60))*(P$11*P60)</f>
        <v>0.015044383561643834</v>
      </c>
      <c r="Y60" s="63">
        <f>($L60+SUM($W60:X60))*(Q$11*Q60)</f>
        <v>0.12594899371739537</v>
      </c>
      <c r="Z60" s="63">
        <f>($L60+SUM($W60:Y60))*(R$11*R60)</f>
        <v>0.12698074026866937</v>
      </c>
      <c r="AA60" s="63">
        <f>($L60+SUM($W60:Z60))*(S$11*S60)</f>
        <v>0.12523787477760834</v>
      </c>
      <c r="AB60" s="63">
        <f>($L60+SUM($W60:AA60))*(T$11*T60)</f>
        <v>0.12764417662274555</v>
      </c>
      <c r="AC60" s="63">
        <f>($L60+SUM($W60:AB60))*(U$11*U60)</f>
        <v>0</v>
      </c>
      <c r="AD60" s="63">
        <f>($L60+SUM($W60:AB60))*(V$11*V60)</f>
        <v>0</v>
      </c>
      <c r="AE60" s="114">
        <f t="shared" si="54"/>
        <v>0.5208561689480625</v>
      </c>
    </row>
    <row r="61" spans="1:31" ht="12.75">
      <c r="A61" s="3">
        <v>6</v>
      </c>
      <c r="B61" s="15">
        <f t="shared" si="17"/>
        <v>41061</v>
      </c>
      <c r="C61" s="244">
        <f t="shared" si="52"/>
        <v>41095</v>
      </c>
      <c r="D61" s="244">
        <f t="shared" si="52"/>
        <v>41110</v>
      </c>
      <c r="E61" s="30" t="s">
        <v>118</v>
      </c>
      <c r="F61" s="3">
        <v>9</v>
      </c>
      <c r="G61" s="73">
        <v>35</v>
      </c>
      <c r="H61" s="249">
        <f t="shared" si="53"/>
        <v>1.45</v>
      </c>
      <c r="I61" s="249">
        <f t="shared" si="9"/>
        <v>1.93</v>
      </c>
      <c r="J61" s="56">
        <f t="shared" si="10"/>
        <v>67.55</v>
      </c>
      <c r="K61" s="57">
        <f t="shared" si="34"/>
        <v>50.75</v>
      </c>
      <c r="L61" s="79">
        <f t="shared" si="56"/>
        <v>16.799999999999997</v>
      </c>
      <c r="M61" s="80">
        <f t="shared" si="40"/>
        <v>0.5235718896302978</v>
      </c>
      <c r="N61" s="78">
        <f t="shared" si="57"/>
        <v>17.323571889630294</v>
      </c>
      <c r="O61" s="16">
        <f t="shared" si="28"/>
        <v>0</v>
      </c>
      <c r="P61" s="16">
        <f t="shared" si="29"/>
        <v>0</v>
      </c>
      <c r="Q61" s="16">
        <f t="shared" si="30"/>
        <v>73</v>
      </c>
      <c r="R61" s="16">
        <f t="shared" si="48"/>
        <v>92</v>
      </c>
      <c r="S61" s="16">
        <f t="shared" si="48"/>
        <v>90</v>
      </c>
      <c r="T61" s="16">
        <f t="shared" si="48"/>
        <v>91</v>
      </c>
      <c r="U61" s="16">
        <f t="shared" si="48"/>
        <v>0</v>
      </c>
      <c r="V61" s="110">
        <f t="shared" si="18"/>
        <v>0</v>
      </c>
      <c r="W61" s="154">
        <f t="shared" si="55"/>
        <v>0</v>
      </c>
      <c r="X61" s="63">
        <f>($L61+SUM($W61:W61))*(P$11*P61)</f>
        <v>0</v>
      </c>
      <c r="Y61" s="63">
        <f>($L61+SUM($W61:X61))*(Q$11*Q61)</f>
        <v>0.10919999999999998</v>
      </c>
      <c r="Z61" s="63">
        <f>($L61+SUM($W61:Y61))*(R$11*R61)</f>
        <v>0.13851646027397257</v>
      </c>
      <c r="AA61" s="63">
        <f>($L61+SUM($W61:Z61))*(S$11*S61)</f>
        <v>0.13661526204466126</v>
      </c>
      <c r="AB61" s="63">
        <f>($L61+SUM($W61:AA61))*(T$11*T61)</f>
        <v>0.13924016731166397</v>
      </c>
      <c r="AC61" s="63">
        <f>($L61+SUM($W61:AB61))*(U$11*U61)</f>
        <v>0</v>
      </c>
      <c r="AD61" s="63">
        <f>($L61+SUM($W61:AB61))*(V$11*V61)</f>
        <v>0</v>
      </c>
      <c r="AE61" s="114">
        <f t="shared" si="54"/>
        <v>0.5235718896302978</v>
      </c>
    </row>
    <row r="62" spans="1:31" ht="12.75">
      <c r="A62" s="16">
        <v>7</v>
      </c>
      <c r="B62" s="15">
        <f t="shared" si="17"/>
        <v>41091</v>
      </c>
      <c r="C62" s="244">
        <f t="shared" si="52"/>
        <v>41124</v>
      </c>
      <c r="D62" s="244">
        <f t="shared" si="52"/>
        <v>41141</v>
      </c>
      <c r="E62" s="30" t="s">
        <v>118</v>
      </c>
      <c r="F62" s="3">
        <v>9</v>
      </c>
      <c r="G62" s="73">
        <v>36</v>
      </c>
      <c r="H62" s="249">
        <f aca="true" t="shared" si="59" ref="H62:H67">$K$8</f>
        <v>1.14</v>
      </c>
      <c r="I62" s="249">
        <f aca="true" t="shared" si="60" ref="I62:I67">J$8</f>
        <v>1.93</v>
      </c>
      <c r="J62" s="56">
        <f t="shared" si="10"/>
        <v>69.48</v>
      </c>
      <c r="K62" s="57">
        <f t="shared" si="34"/>
        <v>41.04</v>
      </c>
      <c r="L62" s="79">
        <f t="shared" si="56"/>
        <v>28.440000000000005</v>
      </c>
      <c r="M62" s="77">
        <f t="shared" si="40"/>
        <v>0.8059064697202776</v>
      </c>
      <c r="N62" s="78">
        <f t="shared" si="57"/>
        <v>29.245906469720282</v>
      </c>
      <c r="O62" s="16">
        <f t="shared" si="28"/>
        <v>0</v>
      </c>
      <c r="P62" s="16">
        <f t="shared" si="29"/>
        <v>0</v>
      </c>
      <c r="Q62" s="16">
        <f t="shared" si="30"/>
        <v>42</v>
      </c>
      <c r="R62" s="16">
        <f t="shared" si="48"/>
        <v>92</v>
      </c>
      <c r="S62" s="16">
        <f t="shared" si="48"/>
        <v>90</v>
      </c>
      <c r="T62" s="16">
        <f t="shared" si="48"/>
        <v>91</v>
      </c>
      <c r="U62" s="16">
        <f t="shared" si="48"/>
        <v>0</v>
      </c>
      <c r="V62" s="110">
        <f t="shared" si="18"/>
        <v>0</v>
      </c>
      <c r="W62" s="154">
        <f t="shared" si="55"/>
        <v>0</v>
      </c>
      <c r="X62" s="63">
        <f>($L62+SUM($W62:W62))*(P$11*P62)</f>
        <v>0</v>
      </c>
      <c r="Y62" s="63">
        <f>($L62+SUM($W62:X62))*(Q$11*Q62)</f>
        <v>0.1063578082191781</v>
      </c>
      <c r="Z62" s="63">
        <f>($L62+SUM($W62:Y62))*(R$11*R62)</f>
        <v>0.23384550642897356</v>
      </c>
      <c r="AA62" s="63">
        <f>($L62+SUM($W62:Z62))*(S$11*S62)</f>
        <v>0.23063587587765985</v>
      </c>
      <c r="AB62" s="63">
        <f>($L62+SUM($W62:AA62))*(T$11*T62)</f>
        <v>0.23506727919446604</v>
      </c>
      <c r="AC62" s="63">
        <f>($L62+SUM($W62:AB62))*(U$11*U62)</f>
        <v>0</v>
      </c>
      <c r="AD62" s="63">
        <f>($L62+SUM($W62:AB62))*(V$11*V62)</f>
        <v>0</v>
      </c>
      <c r="AE62" s="114">
        <f aca="true" t="shared" si="61" ref="AE62:AE67">SUM(W62:AD62)</f>
        <v>0.8059064697202776</v>
      </c>
    </row>
    <row r="63" spans="1:31" ht="12.75">
      <c r="A63" s="3">
        <v>8</v>
      </c>
      <c r="B63" s="15">
        <f t="shared" si="17"/>
        <v>41122</v>
      </c>
      <c r="C63" s="244">
        <f t="shared" si="52"/>
        <v>41158</v>
      </c>
      <c r="D63" s="244">
        <f t="shared" si="52"/>
        <v>41173</v>
      </c>
      <c r="E63" s="30" t="s">
        <v>118</v>
      </c>
      <c r="F63" s="3">
        <v>9</v>
      </c>
      <c r="G63" s="73">
        <v>36</v>
      </c>
      <c r="H63" s="249">
        <f t="shared" si="59"/>
        <v>1.14</v>
      </c>
      <c r="I63" s="249">
        <f t="shared" si="60"/>
        <v>1.93</v>
      </c>
      <c r="J63" s="56">
        <f t="shared" si="10"/>
        <v>69.48</v>
      </c>
      <c r="K63" s="57">
        <f t="shared" si="34"/>
        <v>41.04</v>
      </c>
      <c r="L63" s="79">
        <f t="shared" si="56"/>
        <v>28.440000000000005</v>
      </c>
      <c r="M63" s="77">
        <f t="shared" si="40"/>
        <v>0.722886141008449</v>
      </c>
      <c r="N63" s="78">
        <f t="shared" si="57"/>
        <v>29.162886141008453</v>
      </c>
      <c r="O63" s="16">
        <f t="shared" si="28"/>
        <v>0</v>
      </c>
      <c r="P63" s="16">
        <f t="shared" si="29"/>
        <v>0</v>
      </c>
      <c r="Q63" s="16">
        <f t="shared" si="30"/>
        <v>10</v>
      </c>
      <c r="R63" s="16">
        <f aca="true" t="shared" si="62" ref="R63:U77">IF($D63&lt;R$8,R$12,IF($D63&lt;S$8,S$8-$D63,0))</f>
        <v>92</v>
      </c>
      <c r="S63" s="16">
        <f t="shared" si="62"/>
        <v>90</v>
      </c>
      <c r="T63" s="16">
        <f t="shared" si="62"/>
        <v>91</v>
      </c>
      <c r="U63" s="16">
        <f t="shared" si="62"/>
        <v>0</v>
      </c>
      <c r="V63" s="110">
        <f t="shared" si="18"/>
        <v>0</v>
      </c>
      <c r="W63" s="154">
        <f t="shared" si="55"/>
        <v>0</v>
      </c>
      <c r="X63" s="63">
        <f>($L63+SUM($W63:W63))*(P$11*P63)</f>
        <v>0</v>
      </c>
      <c r="Y63" s="63">
        <f>($L63+SUM($W63:X63))*(Q$11*Q63)</f>
        <v>0.02532328767123288</v>
      </c>
      <c r="Z63" s="63">
        <f>($L63+SUM($W63:Y63))*(R$11*R63)</f>
        <v>0.23318168939763562</v>
      </c>
      <c r="AA63" s="63">
        <f>($L63+SUM($W63:Z63))*(S$11*S63)</f>
        <v>0.22998117002171628</v>
      </c>
      <c r="AB63" s="63">
        <f>($L63+SUM($W63:AA63))*(T$11*T63)</f>
        <v>0.23439999391786415</v>
      </c>
      <c r="AC63" s="63">
        <f>($L63+SUM($W63:AB63))*(U$11*U63)</f>
        <v>0</v>
      </c>
      <c r="AD63" s="63">
        <f>($L63+SUM($W63:AB63))*(V$11*V63)</f>
        <v>0</v>
      </c>
      <c r="AE63" s="114">
        <f t="shared" si="61"/>
        <v>0.722886141008449</v>
      </c>
    </row>
    <row r="64" spans="1:31" ht="12.75">
      <c r="A64" s="3">
        <v>9</v>
      </c>
      <c r="B64" s="15">
        <f t="shared" si="17"/>
        <v>41153</v>
      </c>
      <c r="C64" s="244">
        <f t="shared" si="52"/>
        <v>41185</v>
      </c>
      <c r="D64" s="244">
        <f t="shared" si="52"/>
        <v>41200</v>
      </c>
      <c r="E64" s="30" t="s">
        <v>118</v>
      </c>
      <c r="F64" s="3">
        <v>9</v>
      </c>
      <c r="G64" s="73">
        <v>34</v>
      </c>
      <c r="H64" s="249">
        <f t="shared" si="59"/>
        <v>1.14</v>
      </c>
      <c r="I64" s="249">
        <f t="shared" si="60"/>
        <v>1.93</v>
      </c>
      <c r="J64" s="56">
        <f t="shared" si="10"/>
        <v>65.62</v>
      </c>
      <c r="K64" s="57">
        <f t="shared" si="34"/>
        <v>38.76</v>
      </c>
      <c r="L64" s="79">
        <f t="shared" si="56"/>
        <v>26.860000000000007</v>
      </c>
      <c r="M64" s="77">
        <f t="shared" si="40"/>
        <v>0.6169074257581724</v>
      </c>
      <c r="N64" s="78">
        <f t="shared" si="57"/>
        <v>27.476907425758178</v>
      </c>
      <c r="O64" s="16">
        <f t="shared" si="28"/>
        <v>0</v>
      </c>
      <c r="P64" s="16">
        <f t="shared" si="29"/>
        <v>0</v>
      </c>
      <c r="Q64" s="16">
        <f t="shared" si="30"/>
        <v>0</v>
      </c>
      <c r="R64" s="16">
        <f t="shared" si="62"/>
        <v>75</v>
      </c>
      <c r="S64" s="16">
        <f t="shared" si="62"/>
        <v>90</v>
      </c>
      <c r="T64" s="16">
        <f t="shared" si="62"/>
        <v>91</v>
      </c>
      <c r="U64" s="16">
        <f t="shared" si="62"/>
        <v>0</v>
      </c>
      <c r="V64" s="110">
        <f t="shared" si="18"/>
        <v>0</v>
      </c>
      <c r="W64" s="154">
        <f t="shared" si="55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0.17937328767123292</v>
      </c>
      <c r="AA64" s="63">
        <f>($L64+SUM($W64:Z64))*(S$11*S64)</f>
        <v>0.21668538867517362</v>
      </c>
      <c r="AB64" s="63">
        <f>($L64+SUM($W64:AA64))*(T$11*T64)</f>
        <v>0.2208487494117658</v>
      </c>
      <c r="AC64" s="63">
        <f>($L64+SUM($W64:AB64))*(U$11*U64)</f>
        <v>0</v>
      </c>
      <c r="AD64" s="63">
        <f>($L64+SUM($W64:AB64))*(V$11*V64)</f>
        <v>0</v>
      </c>
      <c r="AE64" s="114">
        <f t="shared" si="61"/>
        <v>0.6169074257581724</v>
      </c>
    </row>
    <row r="65" spans="1:31" ht="12.75">
      <c r="A65" s="16">
        <v>10</v>
      </c>
      <c r="B65" s="15">
        <f t="shared" si="17"/>
        <v>41183</v>
      </c>
      <c r="C65" s="244">
        <f t="shared" si="52"/>
        <v>41218</v>
      </c>
      <c r="D65" s="244">
        <f t="shared" si="52"/>
        <v>41233</v>
      </c>
      <c r="E65" s="30" t="s">
        <v>118</v>
      </c>
      <c r="F65" s="3">
        <v>9</v>
      </c>
      <c r="G65" s="73">
        <v>26</v>
      </c>
      <c r="H65" s="249">
        <f t="shared" si="59"/>
        <v>1.14</v>
      </c>
      <c r="I65" s="249">
        <f t="shared" si="60"/>
        <v>1.93</v>
      </c>
      <c r="J65" s="56">
        <f t="shared" si="10"/>
        <v>50.18</v>
      </c>
      <c r="K65" s="57">
        <f t="shared" si="34"/>
        <v>29.639999999999997</v>
      </c>
      <c r="L65" s="79">
        <f t="shared" si="56"/>
        <v>20.540000000000003</v>
      </c>
      <c r="M65" s="77">
        <f t="shared" si="40"/>
        <v>0.41042229390634366</v>
      </c>
      <c r="N65" s="78">
        <f t="shared" si="57"/>
        <v>20.950422293906346</v>
      </c>
      <c r="O65" s="16">
        <f t="shared" si="28"/>
        <v>0</v>
      </c>
      <c r="P65" s="16">
        <f t="shared" si="29"/>
        <v>0</v>
      </c>
      <c r="Q65" s="16">
        <f t="shared" si="30"/>
        <v>0</v>
      </c>
      <c r="R65" s="16">
        <f t="shared" si="62"/>
        <v>42</v>
      </c>
      <c r="S65" s="16">
        <f t="shared" si="62"/>
        <v>90</v>
      </c>
      <c r="T65" s="16">
        <f t="shared" si="62"/>
        <v>91</v>
      </c>
      <c r="U65" s="16">
        <f t="shared" si="62"/>
        <v>0</v>
      </c>
      <c r="V65" s="110">
        <f t="shared" si="18"/>
        <v>0</v>
      </c>
      <c r="W65" s="154">
        <f t="shared" si="55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0.07681397260273974</v>
      </c>
      <c r="AA65" s="63">
        <f>($L65+SUM($W65:Z65))*(S$11*S65)</f>
        <v>0.16521693389003567</v>
      </c>
      <c r="AB65" s="63">
        <f>($L65+SUM($W65:AA65))*(T$11*T65)</f>
        <v>0.1683913874135682</v>
      </c>
      <c r="AC65" s="63">
        <f>($L65+SUM($W65:AB65))*(U$11*U65)</f>
        <v>0</v>
      </c>
      <c r="AD65" s="63">
        <f>($L65+SUM($W65:AB65))*(V$11*V65)</f>
        <v>0</v>
      </c>
      <c r="AE65" s="114">
        <f t="shared" si="61"/>
        <v>0.41042229390634366</v>
      </c>
    </row>
    <row r="66" spans="1:31" ht="12.75">
      <c r="A66" s="3">
        <v>11</v>
      </c>
      <c r="B66" s="15">
        <f t="shared" si="17"/>
        <v>41214</v>
      </c>
      <c r="C66" s="244">
        <f t="shared" si="52"/>
        <v>41248</v>
      </c>
      <c r="D66" s="244">
        <f t="shared" si="52"/>
        <v>41263</v>
      </c>
      <c r="E66" s="30" t="s">
        <v>118</v>
      </c>
      <c r="F66" s="3">
        <v>9</v>
      </c>
      <c r="G66" s="73">
        <v>33</v>
      </c>
      <c r="H66" s="249">
        <f t="shared" si="59"/>
        <v>1.14</v>
      </c>
      <c r="I66" s="249">
        <f t="shared" si="60"/>
        <v>1.93</v>
      </c>
      <c r="J66" s="56">
        <f t="shared" si="10"/>
        <v>63.69</v>
      </c>
      <c r="K66" s="57">
        <f t="shared" si="34"/>
        <v>37.62</v>
      </c>
      <c r="L66" s="79">
        <f t="shared" si="56"/>
        <v>26.07</v>
      </c>
      <c r="M66" s="77">
        <f t="shared" si="40"/>
        <v>0.4501547075294271</v>
      </c>
      <c r="N66" s="78">
        <f t="shared" si="57"/>
        <v>26.52015470752943</v>
      </c>
      <c r="O66" s="16">
        <f t="shared" si="28"/>
        <v>0</v>
      </c>
      <c r="P66" s="16">
        <f t="shared" si="29"/>
        <v>0</v>
      </c>
      <c r="Q66" s="16">
        <f t="shared" si="30"/>
        <v>0</v>
      </c>
      <c r="R66" s="16">
        <f t="shared" si="62"/>
        <v>12</v>
      </c>
      <c r="S66" s="16">
        <f t="shared" si="62"/>
        <v>90</v>
      </c>
      <c r="T66" s="16">
        <f t="shared" si="62"/>
        <v>91</v>
      </c>
      <c r="U66" s="16">
        <f t="shared" si="62"/>
        <v>0</v>
      </c>
      <c r="V66" s="110">
        <f t="shared" si="18"/>
        <v>0</v>
      </c>
      <c r="W66" s="154">
        <f t="shared" si="55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0.027855616438356167</v>
      </c>
      <c r="AA66" s="63">
        <f>($L66+SUM($W66:Z66))*(S$11*S66)</f>
        <v>0.2091403498029649</v>
      </c>
      <c r="AB66" s="63">
        <f>($L66+SUM($W66:AA66))*(T$11*T66)</f>
        <v>0.21315874128810605</v>
      </c>
      <c r="AC66" s="63">
        <f>($L66+SUM($W66:AB66))*(U$11*U66)</f>
        <v>0</v>
      </c>
      <c r="AD66" s="63">
        <f>($L66+SUM($W66:AB66))*(V$11*V66)</f>
        <v>0</v>
      </c>
      <c r="AE66" s="114">
        <f t="shared" si="61"/>
        <v>0.4501547075294271</v>
      </c>
    </row>
    <row r="67" spans="1:31" s="70" customFormat="1" ht="12.75">
      <c r="A67" s="3">
        <v>12</v>
      </c>
      <c r="B67" s="86">
        <f t="shared" si="17"/>
        <v>41244</v>
      </c>
      <c r="C67" s="244">
        <f t="shared" si="52"/>
        <v>41278</v>
      </c>
      <c r="D67" s="244">
        <f t="shared" si="52"/>
        <v>41295</v>
      </c>
      <c r="E67" s="87" t="s">
        <v>118</v>
      </c>
      <c r="F67" s="83">
        <v>9</v>
      </c>
      <c r="G67" s="88">
        <v>33</v>
      </c>
      <c r="H67" s="250">
        <f t="shared" si="59"/>
        <v>1.14</v>
      </c>
      <c r="I67" s="250">
        <f t="shared" si="60"/>
        <v>1.93</v>
      </c>
      <c r="J67" s="89">
        <f t="shared" si="10"/>
        <v>63.69</v>
      </c>
      <c r="K67" s="308">
        <f t="shared" si="34"/>
        <v>37.62</v>
      </c>
      <c r="L67" s="91">
        <f t="shared" si="56"/>
        <v>26.07</v>
      </c>
      <c r="M67" s="92">
        <f t="shared" si="40"/>
        <v>0.3750461436057422</v>
      </c>
      <c r="N67" s="93">
        <f t="shared" si="57"/>
        <v>26.445046143605744</v>
      </c>
      <c r="O67" s="83">
        <f t="shared" si="28"/>
        <v>0</v>
      </c>
      <c r="P67" s="83">
        <f t="shared" si="29"/>
        <v>0</v>
      </c>
      <c r="Q67" s="83">
        <f t="shared" si="30"/>
        <v>0</v>
      </c>
      <c r="R67" s="83">
        <f t="shared" si="62"/>
        <v>0</v>
      </c>
      <c r="S67" s="83">
        <f t="shared" si="62"/>
        <v>70</v>
      </c>
      <c r="T67" s="83">
        <f t="shared" si="62"/>
        <v>91</v>
      </c>
      <c r="U67" s="83">
        <f t="shared" si="62"/>
        <v>0</v>
      </c>
      <c r="V67" s="111">
        <f t="shared" si="18"/>
        <v>0</v>
      </c>
      <c r="W67" s="155">
        <f t="shared" si="55"/>
        <v>0</v>
      </c>
      <c r="X67" s="94">
        <f>($L67+SUM($W67:W67))*(P$11*P67)</f>
        <v>0</v>
      </c>
      <c r="Y67" s="94">
        <f>($L67+SUM($W67:X67))*(Q$11*Q67)</f>
        <v>0</v>
      </c>
      <c r="Z67" s="94">
        <f>($L67+SUM($W67:Y67))*(R$11*R67)</f>
        <v>0</v>
      </c>
      <c r="AA67" s="94">
        <f>($L67+SUM($W67:Z67))*(S$11*S67)</f>
        <v>0.16249109589041097</v>
      </c>
      <c r="AB67" s="94">
        <f>($L67+SUM($W67:AA67))*(T$11*T67)</f>
        <v>0.2125550477153312</v>
      </c>
      <c r="AC67" s="94">
        <f>($L67+SUM($W67:AB67))*(U$11*U67)</f>
        <v>0</v>
      </c>
      <c r="AD67" s="94">
        <f>($L67+SUM($W67:AB67))*(V$11*V67)</f>
        <v>0</v>
      </c>
      <c r="AE67" s="115">
        <f t="shared" si="61"/>
        <v>0.3750461436057422</v>
      </c>
    </row>
    <row r="68" spans="1:31" ht="12.75">
      <c r="A68" s="16">
        <v>1</v>
      </c>
      <c r="B68" s="15">
        <f t="shared" si="17"/>
        <v>40909</v>
      </c>
      <c r="C68" s="243">
        <f t="shared" si="52"/>
        <v>40942</v>
      </c>
      <c r="D68" s="243">
        <f t="shared" si="52"/>
        <v>40959</v>
      </c>
      <c r="E68" s="122" t="s">
        <v>117</v>
      </c>
      <c r="F68" s="16">
        <v>9</v>
      </c>
      <c r="G68" s="73">
        <v>80</v>
      </c>
      <c r="H68" s="249">
        <f aca="true" t="shared" si="63" ref="H68:H73">$K$3</f>
        <v>1.45</v>
      </c>
      <c r="I68" s="249">
        <f aca="true" t="shared" si="64" ref="I68:I85">$J$3</f>
        <v>1.93</v>
      </c>
      <c r="J68" s="56">
        <f t="shared" si="10"/>
        <v>154.4</v>
      </c>
      <c r="K68" s="57">
        <f t="shared" si="34"/>
        <v>116</v>
      </c>
      <c r="L68" s="58">
        <f t="shared" si="56"/>
        <v>38.400000000000006</v>
      </c>
      <c r="M68" s="55">
        <f t="shared" si="40"/>
        <v>1.7306449070956382</v>
      </c>
      <c r="N68" s="29">
        <f t="shared" si="57"/>
        <v>40.13064490709564</v>
      </c>
      <c r="O68" s="16">
        <f aca="true" t="shared" si="65" ref="O68:O91">IF($D68&lt;O$8,O$12,IF($D68&lt;P$8,P$8-$D68,0))</f>
        <v>41</v>
      </c>
      <c r="P68" s="16">
        <f aca="true" t="shared" si="66" ref="P68:P91">IF($D68&lt;P$8,P$12,IF($D68&lt;Q$8,Q$8-$D68,0))</f>
        <v>91</v>
      </c>
      <c r="Q68" s="16">
        <f aca="true" t="shared" si="67" ref="Q68:Q91">IF($D68&lt;Q$8,Q$12,IF($D68&lt;R$8,R$8-$D68,0))</f>
        <v>92</v>
      </c>
      <c r="R68" s="16">
        <f t="shared" si="62"/>
        <v>92</v>
      </c>
      <c r="S68" s="16">
        <f t="shared" si="62"/>
        <v>90</v>
      </c>
      <c r="T68" s="16">
        <f t="shared" si="62"/>
        <v>91</v>
      </c>
      <c r="U68" s="16">
        <f t="shared" si="62"/>
        <v>0</v>
      </c>
      <c r="V68" s="110">
        <f>IF(W$8&lt;V$8,0,IF($D68&lt;V$8,V$12,IF($D68&lt;W$8,W$8-$D68,0)))</f>
        <v>0</v>
      </c>
      <c r="W68" s="154">
        <f>$L68*O$11*O68</f>
        <v>0.14018630136986304</v>
      </c>
      <c r="X68" s="63">
        <f>($L68+SUM($W68:W68))*(P$11*P68)</f>
        <v>0.31228109859260655</v>
      </c>
      <c r="Y68" s="63">
        <f>($L68+SUM($W68:X68))*(Q$11*Q68)</f>
        <v>0.31827089733119945</v>
      </c>
      <c r="Z68" s="63">
        <f>($L68+SUM($W68:Y68))*(R$11*R68)</f>
        <v>0.3208781027641317</v>
      </c>
      <c r="AA68" s="63">
        <f>($L68+SUM($W68:Z68))*(S$11*S68)</f>
        <v>0.3164739122470386</v>
      </c>
      <c r="AB68" s="63">
        <f>($L68+SUM($W68:AA68))*(T$11*T68)</f>
        <v>0.32255459479079884</v>
      </c>
      <c r="AC68" s="63">
        <f>($L68+SUM($W68:AB68))*(U$11*U68)</f>
        <v>0</v>
      </c>
      <c r="AD68" s="63">
        <f>($L68+SUM($W68:AB68))*(V$11*V68)</f>
        <v>0</v>
      </c>
      <c r="AE68" s="114">
        <f aca="true" t="shared" si="68" ref="AE68:AE73">SUM(W68:AD68)</f>
        <v>1.7306449070956382</v>
      </c>
    </row>
    <row r="69" spans="1:31" ht="12.75">
      <c r="A69" s="3">
        <v>2</v>
      </c>
      <c r="B69" s="15">
        <f t="shared" si="17"/>
        <v>40940</v>
      </c>
      <c r="C69" s="244">
        <f t="shared" si="52"/>
        <v>40973</v>
      </c>
      <c r="D69" s="244">
        <f t="shared" si="52"/>
        <v>40988</v>
      </c>
      <c r="E69" s="71" t="s">
        <v>117</v>
      </c>
      <c r="F69" s="3">
        <v>9</v>
      </c>
      <c r="G69" s="73">
        <v>85</v>
      </c>
      <c r="H69" s="249">
        <f t="shared" si="63"/>
        <v>1.45</v>
      </c>
      <c r="I69" s="249">
        <f t="shared" si="64"/>
        <v>1.93</v>
      </c>
      <c r="J69" s="56">
        <f t="shared" si="10"/>
        <v>164.04999999999998</v>
      </c>
      <c r="K69" s="57">
        <f t="shared" si="34"/>
        <v>123.25</v>
      </c>
      <c r="L69" s="58">
        <f t="shared" si="56"/>
        <v>40.79999999999998</v>
      </c>
      <c r="M69" s="55">
        <f t="shared" si="40"/>
        <v>1.7291091126678757</v>
      </c>
      <c r="N69" s="29">
        <f t="shared" si="57"/>
        <v>42.52910911266786</v>
      </c>
      <c r="O69" s="16">
        <f t="shared" si="65"/>
        <v>12</v>
      </c>
      <c r="P69" s="16">
        <f t="shared" si="66"/>
        <v>91</v>
      </c>
      <c r="Q69" s="16">
        <f t="shared" si="67"/>
        <v>92</v>
      </c>
      <c r="R69" s="16">
        <f t="shared" si="62"/>
        <v>92</v>
      </c>
      <c r="S69" s="16">
        <f t="shared" si="62"/>
        <v>90</v>
      </c>
      <c r="T69" s="16">
        <f t="shared" si="62"/>
        <v>91</v>
      </c>
      <c r="U69" s="16">
        <f t="shared" si="62"/>
        <v>0</v>
      </c>
      <c r="V69" s="110">
        <f t="shared" si="18"/>
        <v>0</v>
      </c>
      <c r="W69" s="154">
        <f aca="true" t="shared" si="69" ref="W69:W79">$L69*O$11*O69</f>
        <v>0.04359452054794519</v>
      </c>
      <c r="X69" s="63">
        <f>($L69+SUM($W69:W69))*(P$11*P69)</f>
        <v>0.33094501587539865</v>
      </c>
      <c r="Y69" s="63">
        <f>($L69+SUM($W69:X69))*(Q$11*Q69)</f>
        <v>0.3372928033257691</v>
      </c>
      <c r="Z69" s="63">
        <f>($L69+SUM($W69:Y69))*(R$11*R69)</f>
        <v>0.3400558320434241</v>
      </c>
      <c r="AA69" s="63">
        <f>($L69+SUM($W69:Z69))*(S$11*S69)</f>
        <v>0.33538841891094</v>
      </c>
      <c r="AB69" s="63">
        <f>($L69+SUM($W69:AA69))*(T$11*T69)</f>
        <v>0.3418325219643986</v>
      </c>
      <c r="AC69" s="63">
        <f>($L69+SUM($W69:AB69))*(U$11*U69)</f>
        <v>0</v>
      </c>
      <c r="AD69" s="63">
        <f>($L69+SUM($W69:AB69))*(V$11*V69)</f>
        <v>0</v>
      </c>
      <c r="AE69" s="114">
        <f t="shared" si="68"/>
        <v>1.7291091126678757</v>
      </c>
    </row>
    <row r="70" spans="1:31" ht="12.75">
      <c r="A70" s="3">
        <v>3</v>
      </c>
      <c r="B70" s="15">
        <f t="shared" si="17"/>
        <v>40969</v>
      </c>
      <c r="C70" s="244">
        <f t="shared" si="52"/>
        <v>41003</v>
      </c>
      <c r="D70" s="244">
        <f t="shared" si="52"/>
        <v>41018</v>
      </c>
      <c r="E70" s="71" t="s">
        <v>117</v>
      </c>
      <c r="F70" s="3">
        <v>9</v>
      </c>
      <c r="G70" s="73">
        <v>81</v>
      </c>
      <c r="H70" s="249">
        <f t="shared" si="63"/>
        <v>1.45</v>
      </c>
      <c r="I70" s="249">
        <f t="shared" si="64"/>
        <v>1.93</v>
      </c>
      <c r="J70" s="56">
        <f t="shared" si="10"/>
        <v>156.32999999999998</v>
      </c>
      <c r="K70" s="57">
        <f aca="true" t="shared" si="70" ref="K70:K134">+$G70*H70</f>
        <v>117.45</v>
      </c>
      <c r="L70" s="58">
        <f>+J70-K70</f>
        <v>38.87999999999998</v>
      </c>
      <c r="M70" s="55">
        <f t="shared" si="40"/>
        <v>1.5401173223381062</v>
      </c>
      <c r="N70" s="29">
        <f>SUM(L70:M70)</f>
        <v>40.420117322338086</v>
      </c>
      <c r="O70" s="16">
        <f aca="true" t="shared" si="71" ref="O70:U70">IF($D70&lt;O$8,O$12,IF($D70&lt;P$8,P$8-$D70,0))</f>
        <v>0</v>
      </c>
      <c r="P70" s="16">
        <f t="shared" si="71"/>
        <v>73</v>
      </c>
      <c r="Q70" s="16">
        <f t="shared" si="71"/>
        <v>92</v>
      </c>
      <c r="R70" s="16">
        <f t="shared" si="71"/>
        <v>92</v>
      </c>
      <c r="S70" s="16">
        <f t="shared" si="71"/>
        <v>90</v>
      </c>
      <c r="T70" s="16">
        <f t="shared" si="71"/>
        <v>91</v>
      </c>
      <c r="U70" s="16">
        <f t="shared" si="71"/>
        <v>0</v>
      </c>
      <c r="V70" s="110">
        <f>IF(W$8&lt;V$8,0,IF($D70&lt;V$8,V$12,IF($D70&lt;W$8,W$8-$D70,0)))</f>
        <v>0</v>
      </c>
      <c r="W70" s="154">
        <f>$L70*O$11*O70</f>
        <v>0</v>
      </c>
      <c r="X70" s="63">
        <f>($L70+SUM($W70:W70))*(P$11*P70)</f>
        <v>0.2527199999999999</v>
      </c>
      <c r="Y70" s="63">
        <f>($L70+SUM($W70:X70))*(Q$11*Q70)</f>
        <v>0.3205666652054792</v>
      </c>
      <c r="Z70" s="63">
        <f>($L70+SUM($W70:Y70))*(R$11*R70)</f>
        <v>0.32319267706565563</v>
      </c>
      <c r="AA70" s="63">
        <f>($L70+SUM($W70:Z70))*(S$11*S70)</f>
        <v>0.31875671801683014</v>
      </c>
      <c r="AB70" s="63">
        <f>($L70+SUM($W70:AA70))*(T$11*T70)</f>
        <v>0.3248812620501414</v>
      </c>
      <c r="AC70" s="63">
        <f>($L70+SUM($W70:AB70))*(U$11*U70)</f>
        <v>0</v>
      </c>
      <c r="AD70" s="63">
        <f>($L70+SUM($W70:AB70))*(V$11*V70)</f>
        <v>0</v>
      </c>
      <c r="AE70" s="114">
        <f t="shared" si="68"/>
        <v>1.5401173223381062</v>
      </c>
    </row>
    <row r="71" spans="1:31" ht="12.75">
      <c r="A71" s="16">
        <v>4</v>
      </c>
      <c r="B71" s="15">
        <f t="shared" si="17"/>
        <v>41000</v>
      </c>
      <c r="C71" s="244">
        <f t="shared" si="52"/>
        <v>41032</v>
      </c>
      <c r="D71" s="244">
        <f t="shared" si="52"/>
        <v>41047</v>
      </c>
      <c r="E71" s="71" t="s">
        <v>117</v>
      </c>
      <c r="F71" s="3">
        <v>9</v>
      </c>
      <c r="G71" s="73">
        <v>103</v>
      </c>
      <c r="H71" s="249">
        <f t="shared" si="63"/>
        <v>1.45</v>
      </c>
      <c r="I71" s="249">
        <f t="shared" si="64"/>
        <v>1.93</v>
      </c>
      <c r="J71" s="56">
        <f t="shared" si="10"/>
        <v>198.79</v>
      </c>
      <c r="K71" s="57">
        <f t="shared" si="70"/>
        <v>149.35</v>
      </c>
      <c r="L71" s="58">
        <f aca="true" t="shared" si="72" ref="L71:L81">+J71-K71</f>
        <v>49.44</v>
      </c>
      <c r="M71" s="55">
        <f t="shared" si="40"/>
        <v>1.8265573254215703</v>
      </c>
      <c r="N71" s="29">
        <f aca="true" t="shared" si="73" ref="N71:N81">SUM(L71:M71)</f>
        <v>51.266557325421566</v>
      </c>
      <c r="O71" s="16">
        <f t="shared" si="65"/>
        <v>0</v>
      </c>
      <c r="P71" s="16">
        <f t="shared" si="66"/>
        <v>44</v>
      </c>
      <c r="Q71" s="16">
        <f t="shared" si="67"/>
        <v>92</v>
      </c>
      <c r="R71" s="16">
        <f t="shared" si="62"/>
        <v>92</v>
      </c>
      <c r="S71" s="16">
        <f t="shared" si="62"/>
        <v>90</v>
      </c>
      <c r="T71" s="16">
        <f t="shared" si="62"/>
        <v>91</v>
      </c>
      <c r="U71" s="16">
        <f t="shared" si="62"/>
        <v>0</v>
      </c>
      <c r="V71" s="110">
        <f t="shared" si="18"/>
        <v>0</v>
      </c>
      <c r="W71" s="154">
        <f t="shared" si="69"/>
        <v>0</v>
      </c>
      <c r="X71" s="63">
        <f>($L71+SUM($W71:W71))*(P$11*P71)</f>
        <v>0.19369643835616437</v>
      </c>
      <c r="Y71" s="63">
        <f>($L71+SUM($W71:X71))*(Q$11*Q71)</f>
        <v>0.40658836260461617</v>
      </c>
      <c r="Z71" s="63">
        <f>($L71+SUM($W71:Y71))*(R$11*R71)</f>
        <v>0.40991904535581564</v>
      </c>
      <c r="AA71" s="63">
        <f>($L71+SUM($W71:Z71))*(S$11*S71)</f>
        <v>0.404292729453359</v>
      </c>
      <c r="AB71" s="63">
        <f>($L71+SUM($W71:AA71))*(T$11*T71)</f>
        <v>0.41206074965161543</v>
      </c>
      <c r="AC71" s="63">
        <f>($L71+SUM($W71:AB71))*(U$11*U71)</f>
        <v>0</v>
      </c>
      <c r="AD71" s="63">
        <f>($L71+SUM($W71:AB71))*(V$11*V71)</f>
        <v>0</v>
      </c>
      <c r="AE71" s="114">
        <f t="shared" si="68"/>
        <v>1.8265573254215703</v>
      </c>
    </row>
    <row r="72" spans="1:31" ht="12.75">
      <c r="A72" s="3">
        <v>5</v>
      </c>
      <c r="B72" s="15">
        <f t="shared" si="17"/>
        <v>41030</v>
      </c>
      <c r="C72" s="244">
        <f aca="true" t="shared" si="74" ref="C72:D91">+C60</f>
        <v>41065</v>
      </c>
      <c r="D72" s="244">
        <f t="shared" si="74"/>
        <v>41080</v>
      </c>
      <c r="E72" s="30" t="s">
        <v>117</v>
      </c>
      <c r="F72" s="3">
        <v>9</v>
      </c>
      <c r="G72" s="73">
        <v>136</v>
      </c>
      <c r="H72" s="249">
        <f t="shared" si="63"/>
        <v>1.45</v>
      </c>
      <c r="I72" s="249">
        <f t="shared" si="64"/>
        <v>1.93</v>
      </c>
      <c r="J72" s="56">
        <f t="shared" si="10"/>
        <v>262.48</v>
      </c>
      <c r="K72" s="57">
        <f t="shared" si="70"/>
        <v>197.2</v>
      </c>
      <c r="L72" s="58">
        <f t="shared" si="72"/>
        <v>65.28000000000003</v>
      </c>
      <c r="M72" s="55">
        <f t="shared" si="40"/>
        <v>2.2136387180292667</v>
      </c>
      <c r="N72" s="29">
        <f t="shared" si="73"/>
        <v>67.4936387180293</v>
      </c>
      <c r="O72" s="16">
        <f t="shared" si="65"/>
        <v>0</v>
      </c>
      <c r="P72" s="16">
        <f t="shared" si="66"/>
        <v>11</v>
      </c>
      <c r="Q72" s="16">
        <f t="shared" si="67"/>
        <v>92</v>
      </c>
      <c r="R72" s="16">
        <f t="shared" si="62"/>
        <v>92</v>
      </c>
      <c r="S72" s="16">
        <f t="shared" si="62"/>
        <v>90</v>
      </c>
      <c r="T72" s="16">
        <f t="shared" si="62"/>
        <v>91</v>
      </c>
      <c r="U72" s="16">
        <f t="shared" si="62"/>
        <v>0</v>
      </c>
      <c r="V72" s="110">
        <f t="shared" si="18"/>
        <v>0</v>
      </c>
      <c r="W72" s="154">
        <f t="shared" si="69"/>
        <v>0</v>
      </c>
      <c r="X72" s="63">
        <f>($L72+SUM($W72:W72))*(P$11*P72)</f>
        <v>0.06393863013698632</v>
      </c>
      <c r="Y72" s="63">
        <f>($L72+SUM($W72:X72))*(Q$11*Q72)</f>
        <v>0.5352832232989306</v>
      </c>
      <c r="Z72" s="63">
        <f>($L72+SUM($W72:Y72))*(R$11*R72)</f>
        <v>0.5396681461418451</v>
      </c>
      <c r="AA72" s="63">
        <f>($L72+SUM($W72:Z72))*(S$11*S72)</f>
        <v>0.5322609678048357</v>
      </c>
      <c r="AB72" s="63">
        <f>($L72+SUM($W72:AA72))*(T$11*T72)</f>
        <v>0.5424877506466689</v>
      </c>
      <c r="AC72" s="63">
        <f>($L72+SUM($W72:AB72))*(U$11*U72)</f>
        <v>0</v>
      </c>
      <c r="AD72" s="63">
        <f>($L72+SUM($W72:AB72))*(V$11*V72)</f>
        <v>0</v>
      </c>
      <c r="AE72" s="114">
        <f t="shared" si="68"/>
        <v>2.2136387180292667</v>
      </c>
    </row>
    <row r="73" spans="1:31" ht="12.75">
      <c r="A73" s="3">
        <v>6</v>
      </c>
      <c r="B73" s="15">
        <f t="shared" si="17"/>
        <v>41061</v>
      </c>
      <c r="C73" s="244">
        <f t="shared" si="74"/>
        <v>41095</v>
      </c>
      <c r="D73" s="244">
        <f t="shared" si="74"/>
        <v>41110</v>
      </c>
      <c r="E73" s="30" t="s">
        <v>117</v>
      </c>
      <c r="F73" s="3">
        <v>9</v>
      </c>
      <c r="G73" s="73">
        <v>164</v>
      </c>
      <c r="H73" s="249">
        <f t="shared" si="63"/>
        <v>1.45</v>
      </c>
      <c r="I73" s="249">
        <f t="shared" si="64"/>
        <v>1.93</v>
      </c>
      <c r="J73" s="56">
        <f t="shared" si="10"/>
        <v>316.52</v>
      </c>
      <c r="K73" s="57">
        <f t="shared" si="70"/>
        <v>237.79999999999998</v>
      </c>
      <c r="L73" s="79">
        <f t="shared" si="72"/>
        <v>78.72</v>
      </c>
      <c r="M73" s="80">
        <f t="shared" si="40"/>
        <v>2.45330828283911</v>
      </c>
      <c r="N73" s="78">
        <f t="shared" si="73"/>
        <v>81.17330828283912</v>
      </c>
      <c r="O73" s="16">
        <f t="shared" si="65"/>
        <v>0</v>
      </c>
      <c r="P73" s="16">
        <f t="shared" si="66"/>
        <v>0</v>
      </c>
      <c r="Q73" s="16">
        <f t="shared" si="67"/>
        <v>73</v>
      </c>
      <c r="R73" s="16">
        <f t="shared" si="62"/>
        <v>92</v>
      </c>
      <c r="S73" s="16">
        <f t="shared" si="62"/>
        <v>90</v>
      </c>
      <c r="T73" s="16">
        <f t="shared" si="62"/>
        <v>91</v>
      </c>
      <c r="U73" s="16">
        <f t="shared" si="62"/>
        <v>0</v>
      </c>
      <c r="V73" s="110">
        <f t="shared" si="18"/>
        <v>0</v>
      </c>
      <c r="W73" s="154">
        <f t="shared" si="69"/>
        <v>0</v>
      </c>
      <c r="X73" s="63">
        <f>($L73+SUM($W73:W73))*(P$11*P73)</f>
        <v>0</v>
      </c>
      <c r="Y73" s="63">
        <f>($L73+SUM($W73:X73))*(Q$11*Q73)</f>
        <v>0.51168</v>
      </c>
      <c r="Z73" s="63">
        <f>($L73+SUM($W73:Y73))*(R$11*R73)</f>
        <v>0.6490485567123286</v>
      </c>
      <c r="AA73" s="63">
        <f>($L73+SUM($W73:Z73))*(S$11*S73)</f>
        <v>0.64014008500927</v>
      </c>
      <c r="AB73" s="63">
        <f>($L73+SUM($W73:AA73))*(T$11*T73)</f>
        <v>0.6524396411175113</v>
      </c>
      <c r="AC73" s="63">
        <f>($L73+SUM($W73:AB73))*(U$11*U73)</f>
        <v>0</v>
      </c>
      <c r="AD73" s="63">
        <f>($L73+SUM($W73:AB73))*(V$11*V73)</f>
        <v>0</v>
      </c>
      <c r="AE73" s="114">
        <f t="shared" si="68"/>
        <v>2.45330828283911</v>
      </c>
    </row>
    <row r="74" spans="1:31" ht="12.75">
      <c r="A74" s="16">
        <v>7</v>
      </c>
      <c r="B74" s="15">
        <f t="shared" si="17"/>
        <v>41091</v>
      </c>
      <c r="C74" s="244">
        <f t="shared" si="74"/>
        <v>41124</v>
      </c>
      <c r="D74" s="244">
        <f t="shared" si="74"/>
        <v>41141</v>
      </c>
      <c r="E74" s="30" t="s">
        <v>117</v>
      </c>
      <c r="F74" s="3">
        <v>9</v>
      </c>
      <c r="G74" s="73">
        <v>169</v>
      </c>
      <c r="H74" s="249">
        <f aca="true" t="shared" si="75" ref="H74:H79">$K$8</f>
        <v>1.14</v>
      </c>
      <c r="I74" s="249">
        <f aca="true" t="shared" si="76" ref="I74:I79">J$8</f>
        <v>1.93</v>
      </c>
      <c r="J74" s="56">
        <f t="shared" si="10"/>
        <v>326.17</v>
      </c>
      <c r="K74" s="57">
        <f t="shared" si="70"/>
        <v>192.66</v>
      </c>
      <c r="L74" s="79">
        <f t="shared" si="72"/>
        <v>133.51000000000002</v>
      </c>
      <c r="M74" s="77">
        <f aca="true" t="shared" si="77" ref="M74:M137">+AE74</f>
        <v>3.7832831495201917</v>
      </c>
      <c r="N74" s="78">
        <f t="shared" si="73"/>
        <v>137.29328314952022</v>
      </c>
      <c r="O74" s="16">
        <f t="shared" si="65"/>
        <v>0</v>
      </c>
      <c r="P74" s="16">
        <f t="shared" si="66"/>
        <v>0</v>
      </c>
      <c r="Q74" s="16">
        <f t="shared" si="67"/>
        <v>42</v>
      </c>
      <c r="R74" s="16">
        <f t="shared" si="62"/>
        <v>92</v>
      </c>
      <c r="S74" s="16">
        <f t="shared" si="62"/>
        <v>90</v>
      </c>
      <c r="T74" s="16">
        <f t="shared" si="62"/>
        <v>91</v>
      </c>
      <c r="U74" s="16">
        <f t="shared" si="62"/>
        <v>0</v>
      </c>
      <c r="V74" s="110">
        <f t="shared" si="18"/>
        <v>0</v>
      </c>
      <c r="W74" s="154">
        <f t="shared" si="69"/>
        <v>0</v>
      </c>
      <c r="X74" s="63">
        <f>($L74+SUM($W74:W74))*(P$11*P74)</f>
        <v>0</v>
      </c>
      <c r="Y74" s="63">
        <f>($L74+SUM($W74:X74))*(Q$11*Q74)</f>
        <v>0.49929082191780827</v>
      </c>
      <c r="Z74" s="63">
        <f>($L74+SUM($W74:Y74))*(R$11*R74)</f>
        <v>1.0977747385137926</v>
      </c>
      <c r="AA74" s="63">
        <f>($L74+SUM($W74:Z74))*(S$11*S74)</f>
        <v>1.0827073062034587</v>
      </c>
      <c r="AB74" s="63">
        <f>($L74+SUM($W74:AA74))*(T$11*T74)</f>
        <v>1.1035102828851322</v>
      </c>
      <c r="AC74" s="63">
        <f>($L74+SUM($W74:AB74))*(U$11*U74)</f>
        <v>0</v>
      </c>
      <c r="AD74" s="63">
        <f>($L74+SUM($W74:AB74))*(V$11*V74)</f>
        <v>0</v>
      </c>
      <c r="AE74" s="114">
        <f aca="true" t="shared" si="78" ref="AE74:AE79">SUM(W74:AD74)</f>
        <v>3.7832831495201917</v>
      </c>
    </row>
    <row r="75" spans="1:31" ht="12.75">
      <c r="A75" s="3">
        <v>8</v>
      </c>
      <c r="B75" s="15">
        <f t="shared" si="17"/>
        <v>41122</v>
      </c>
      <c r="C75" s="244">
        <f t="shared" si="74"/>
        <v>41158</v>
      </c>
      <c r="D75" s="244">
        <f t="shared" si="74"/>
        <v>41173</v>
      </c>
      <c r="E75" s="30" t="s">
        <v>117</v>
      </c>
      <c r="F75" s="3">
        <v>9</v>
      </c>
      <c r="G75" s="73">
        <v>177</v>
      </c>
      <c r="H75" s="249">
        <f t="shared" si="75"/>
        <v>1.14</v>
      </c>
      <c r="I75" s="249">
        <f t="shared" si="76"/>
        <v>1.93</v>
      </c>
      <c r="J75" s="56">
        <f t="shared" si="10"/>
        <v>341.61</v>
      </c>
      <c r="K75" s="57">
        <f t="shared" si="70"/>
        <v>201.77999999999997</v>
      </c>
      <c r="L75" s="79">
        <f t="shared" si="72"/>
        <v>139.83000000000004</v>
      </c>
      <c r="M75" s="77">
        <f t="shared" si="77"/>
        <v>3.554190193291541</v>
      </c>
      <c r="N75" s="78">
        <f t="shared" si="73"/>
        <v>143.38419019329157</v>
      </c>
      <c r="O75" s="16">
        <f t="shared" si="65"/>
        <v>0</v>
      </c>
      <c r="P75" s="16">
        <f t="shared" si="66"/>
        <v>0</v>
      </c>
      <c r="Q75" s="16">
        <f t="shared" si="67"/>
        <v>10</v>
      </c>
      <c r="R75" s="16">
        <f t="shared" si="62"/>
        <v>92</v>
      </c>
      <c r="S75" s="16">
        <f t="shared" si="62"/>
        <v>90</v>
      </c>
      <c r="T75" s="16">
        <f t="shared" si="62"/>
        <v>91</v>
      </c>
      <c r="U75" s="16">
        <f t="shared" si="62"/>
        <v>0</v>
      </c>
      <c r="V75" s="110">
        <f t="shared" si="18"/>
        <v>0</v>
      </c>
      <c r="W75" s="154">
        <f t="shared" si="69"/>
        <v>0</v>
      </c>
      <c r="X75" s="63">
        <f>($L75+SUM($W75:W75))*(P$11*P75)</f>
        <v>0</v>
      </c>
      <c r="Y75" s="63">
        <f>($L75+SUM($W75:X75))*(Q$11*Q75)</f>
        <v>0.12450616438356167</v>
      </c>
      <c r="Z75" s="63">
        <f>($L75+SUM($W75:Y75))*(R$11*R75)</f>
        <v>1.1464766395383752</v>
      </c>
      <c r="AA75" s="63">
        <f>($L75+SUM($W75:Z75))*(S$11*S75)</f>
        <v>1.1307407526067719</v>
      </c>
      <c r="AB75" s="63">
        <f>($L75+SUM($W75:AA75))*(T$11*T75)</f>
        <v>1.1524666367628322</v>
      </c>
      <c r="AC75" s="63">
        <f>($L75+SUM($W75:AB75))*(U$11*U75)</f>
        <v>0</v>
      </c>
      <c r="AD75" s="63">
        <f>($L75+SUM($W75:AB75))*(V$11*V75)</f>
        <v>0</v>
      </c>
      <c r="AE75" s="114">
        <f t="shared" si="78"/>
        <v>3.554190193291541</v>
      </c>
    </row>
    <row r="76" spans="1:31" ht="12.75">
      <c r="A76" s="3">
        <v>9</v>
      </c>
      <c r="B76" s="15">
        <f t="shared" si="17"/>
        <v>41153</v>
      </c>
      <c r="C76" s="244">
        <f t="shared" si="74"/>
        <v>41185</v>
      </c>
      <c r="D76" s="244">
        <f t="shared" si="74"/>
        <v>41200</v>
      </c>
      <c r="E76" s="30" t="s">
        <v>117</v>
      </c>
      <c r="F76" s="3">
        <v>9</v>
      </c>
      <c r="G76" s="73">
        <v>161</v>
      </c>
      <c r="H76" s="249">
        <f t="shared" si="75"/>
        <v>1.14</v>
      </c>
      <c r="I76" s="249">
        <f t="shared" si="76"/>
        <v>1.93</v>
      </c>
      <c r="J76" s="56">
        <f t="shared" si="10"/>
        <v>310.73</v>
      </c>
      <c r="K76" s="57">
        <f t="shared" si="70"/>
        <v>183.54</v>
      </c>
      <c r="L76" s="79">
        <f t="shared" si="72"/>
        <v>127.19000000000003</v>
      </c>
      <c r="M76" s="77">
        <f t="shared" si="77"/>
        <v>2.921238104325463</v>
      </c>
      <c r="N76" s="78">
        <f t="shared" si="73"/>
        <v>130.11123810432548</v>
      </c>
      <c r="O76" s="16">
        <f t="shared" si="65"/>
        <v>0</v>
      </c>
      <c r="P76" s="16">
        <f t="shared" si="66"/>
        <v>0</v>
      </c>
      <c r="Q76" s="16">
        <f t="shared" si="67"/>
        <v>0</v>
      </c>
      <c r="R76" s="16">
        <f t="shared" si="62"/>
        <v>75</v>
      </c>
      <c r="S76" s="16">
        <f t="shared" si="62"/>
        <v>90</v>
      </c>
      <c r="T76" s="16">
        <f t="shared" si="62"/>
        <v>91</v>
      </c>
      <c r="U76" s="16">
        <f t="shared" si="62"/>
        <v>0</v>
      </c>
      <c r="V76" s="110">
        <f t="shared" si="18"/>
        <v>0</v>
      </c>
      <c r="W76" s="154">
        <f t="shared" si="69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0.849385273972603</v>
      </c>
      <c r="AA76" s="63">
        <f>($L76+SUM($W76:Z76))*(S$11*S76)</f>
        <v>1.0260690463736162</v>
      </c>
      <c r="AB76" s="63">
        <f>($L76+SUM($W76:AA76))*(T$11*T76)</f>
        <v>1.0457837839792439</v>
      </c>
      <c r="AC76" s="63">
        <f>($L76+SUM($W76:AB76))*(U$11*U76)</f>
        <v>0</v>
      </c>
      <c r="AD76" s="63">
        <f>($L76+SUM($W76:AB76))*(V$11*V76)</f>
        <v>0</v>
      </c>
      <c r="AE76" s="114">
        <f t="shared" si="78"/>
        <v>2.921238104325463</v>
      </c>
    </row>
    <row r="77" spans="1:31" ht="12.75">
      <c r="A77" s="16">
        <v>10</v>
      </c>
      <c r="B77" s="15">
        <f t="shared" si="17"/>
        <v>41183</v>
      </c>
      <c r="C77" s="244">
        <f t="shared" si="74"/>
        <v>41218</v>
      </c>
      <c r="D77" s="244">
        <f t="shared" si="74"/>
        <v>41233</v>
      </c>
      <c r="E77" s="30" t="s">
        <v>117</v>
      </c>
      <c r="F77" s="3">
        <v>9</v>
      </c>
      <c r="G77" s="73">
        <v>88</v>
      </c>
      <c r="H77" s="249">
        <f t="shared" si="75"/>
        <v>1.14</v>
      </c>
      <c r="I77" s="249">
        <f t="shared" si="76"/>
        <v>1.93</v>
      </c>
      <c r="J77" s="56">
        <f t="shared" si="10"/>
        <v>169.84</v>
      </c>
      <c r="K77" s="57">
        <f t="shared" si="70"/>
        <v>100.32</v>
      </c>
      <c r="L77" s="79">
        <f t="shared" si="72"/>
        <v>69.52000000000001</v>
      </c>
      <c r="M77" s="77">
        <f t="shared" si="77"/>
        <v>1.3891216101445476</v>
      </c>
      <c r="N77" s="78">
        <f t="shared" si="73"/>
        <v>70.90912161014455</v>
      </c>
      <c r="O77" s="16">
        <f t="shared" si="65"/>
        <v>0</v>
      </c>
      <c r="P77" s="16">
        <f t="shared" si="66"/>
        <v>0</v>
      </c>
      <c r="Q77" s="16">
        <f t="shared" si="67"/>
        <v>0</v>
      </c>
      <c r="R77" s="16">
        <f t="shared" si="62"/>
        <v>42</v>
      </c>
      <c r="S77" s="16">
        <f t="shared" si="62"/>
        <v>90</v>
      </c>
      <c r="T77" s="16">
        <f t="shared" si="62"/>
        <v>91</v>
      </c>
      <c r="U77" s="16">
        <f t="shared" si="62"/>
        <v>0</v>
      </c>
      <c r="V77" s="110">
        <f t="shared" si="18"/>
        <v>0</v>
      </c>
      <c r="W77" s="154">
        <f t="shared" si="69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0.2599857534246576</v>
      </c>
      <c r="AA77" s="63">
        <f>($L77+SUM($W77:Z77))*(S$11*S77)</f>
        <v>0.5591957762431976</v>
      </c>
      <c r="AB77" s="63">
        <f>($L77+SUM($W77:AA77))*(T$11*T77)</f>
        <v>0.5699400804766924</v>
      </c>
      <c r="AC77" s="63">
        <f>($L77+SUM($W77:AB77))*(U$11*U77)</f>
        <v>0</v>
      </c>
      <c r="AD77" s="63">
        <f>($L77+SUM($W77:AB77))*(V$11*V77)</f>
        <v>0</v>
      </c>
      <c r="AE77" s="114">
        <f t="shared" si="78"/>
        <v>1.3891216101445476</v>
      </c>
    </row>
    <row r="78" spans="1:31" ht="12.75">
      <c r="A78" s="3">
        <v>11</v>
      </c>
      <c r="B78" s="15">
        <f t="shared" si="17"/>
        <v>41214</v>
      </c>
      <c r="C78" s="244">
        <f t="shared" si="74"/>
        <v>41248</v>
      </c>
      <c r="D78" s="244">
        <f t="shared" si="74"/>
        <v>41263</v>
      </c>
      <c r="E78" s="30" t="s">
        <v>117</v>
      </c>
      <c r="F78" s="3">
        <v>9</v>
      </c>
      <c r="G78" s="73">
        <v>71</v>
      </c>
      <c r="H78" s="249">
        <f t="shared" si="75"/>
        <v>1.14</v>
      </c>
      <c r="I78" s="249">
        <f t="shared" si="76"/>
        <v>1.93</v>
      </c>
      <c r="J78" s="56">
        <f t="shared" si="10"/>
        <v>137.03</v>
      </c>
      <c r="K78" s="57">
        <f t="shared" si="70"/>
        <v>80.94</v>
      </c>
      <c r="L78" s="79">
        <f t="shared" si="72"/>
        <v>56.09</v>
      </c>
      <c r="M78" s="77">
        <f t="shared" si="77"/>
        <v>0.9685146737754342</v>
      </c>
      <c r="N78" s="78">
        <f t="shared" si="73"/>
        <v>57.058514673775434</v>
      </c>
      <c r="O78" s="16">
        <f t="shared" si="65"/>
        <v>0</v>
      </c>
      <c r="P78" s="16">
        <f t="shared" si="66"/>
        <v>0</v>
      </c>
      <c r="Q78" s="16">
        <f t="shared" si="67"/>
        <v>0</v>
      </c>
      <c r="R78" s="16">
        <f aca="true" t="shared" si="79" ref="R78:R101">IF($D78&lt;R$8,R$12,IF($D78&lt;S$8,S$8-$D78,0))</f>
        <v>12</v>
      </c>
      <c r="S78" s="16">
        <f aca="true" t="shared" si="80" ref="S78:U101">IF($D78&lt;S$8,S$12,IF($D78&lt;T$8,T$8-$D78,0))</f>
        <v>90</v>
      </c>
      <c r="T78" s="16">
        <f t="shared" si="80"/>
        <v>91</v>
      </c>
      <c r="U78" s="16">
        <f t="shared" si="80"/>
        <v>0</v>
      </c>
      <c r="V78" s="110">
        <f t="shared" si="18"/>
        <v>0</v>
      </c>
      <c r="W78" s="154">
        <f t="shared" si="69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0.059931780821917816</v>
      </c>
      <c r="AA78" s="63">
        <f>($L78+SUM($W78:Z78))*(S$11*S78)</f>
        <v>0.44996863139425786</v>
      </c>
      <c r="AB78" s="63">
        <f>($L78+SUM($W78:AA78))*(T$11*T78)</f>
        <v>0.4586142615592585</v>
      </c>
      <c r="AC78" s="63">
        <f>($L78+SUM($W78:AB78))*(U$11*U78)</f>
        <v>0</v>
      </c>
      <c r="AD78" s="63">
        <f>($L78+SUM($W78:AB78))*(V$11*V78)</f>
        <v>0</v>
      </c>
      <c r="AE78" s="114">
        <f t="shared" si="78"/>
        <v>0.9685146737754342</v>
      </c>
    </row>
    <row r="79" spans="1:31" s="70" customFormat="1" ht="12.75">
      <c r="A79" s="3">
        <v>12</v>
      </c>
      <c r="B79" s="86">
        <f t="shared" si="17"/>
        <v>41244</v>
      </c>
      <c r="C79" s="244">
        <f t="shared" si="74"/>
        <v>41278</v>
      </c>
      <c r="D79" s="244">
        <f t="shared" si="74"/>
        <v>41295</v>
      </c>
      <c r="E79" s="87" t="s">
        <v>117</v>
      </c>
      <c r="F79" s="83">
        <v>9</v>
      </c>
      <c r="G79" s="88">
        <v>80</v>
      </c>
      <c r="H79" s="250">
        <f t="shared" si="75"/>
        <v>1.14</v>
      </c>
      <c r="I79" s="250">
        <f t="shared" si="76"/>
        <v>1.93</v>
      </c>
      <c r="J79" s="89">
        <f t="shared" si="10"/>
        <v>154.4</v>
      </c>
      <c r="K79" s="308">
        <f t="shared" si="70"/>
        <v>91.19999999999999</v>
      </c>
      <c r="L79" s="91">
        <f t="shared" si="72"/>
        <v>63.20000000000002</v>
      </c>
      <c r="M79" s="92">
        <f t="shared" si="77"/>
        <v>0.9092027723775571</v>
      </c>
      <c r="N79" s="93">
        <f t="shared" si="73"/>
        <v>64.10920277237757</v>
      </c>
      <c r="O79" s="83">
        <f t="shared" si="65"/>
        <v>0</v>
      </c>
      <c r="P79" s="83">
        <f t="shared" si="66"/>
        <v>0</v>
      </c>
      <c r="Q79" s="83">
        <f t="shared" si="67"/>
        <v>0</v>
      </c>
      <c r="R79" s="83">
        <f t="shared" si="79"/>
        <v>0</v>
      </c>
      <c r="S79" s="83">
        <f t="shared" si="80"/>
        <v>70</v>
      </c>
      <c r="T79" s="83">
        <f t="shared" si="80"/>
        <v>91</v>
      </c>
      <c r="U79" s="83">
        <f t="shared" si="80"/>
        <v>0</v>
      </c>
      <c r="V79" s="111">
        <f t="shared" si="18"/>
        <v>0</v>
      </c>
      <c r="W79" s="155">
        <f t="shared" si="69"/>
        <v>0</v>
      </c>
      <c r="X79" s="94">
        <f>($L79+SUM($W79:W79))*(P$11*P79)</f>
        <v>0</v>
      </c>
      <c r="Y79" s="94">
        <f>($L79+SUM($W79:X79))*(Q$11*Q79)</f>
        <v>0</v>
      </c>
      <c r="Z79" s="94">
        <f>($L79+SUM($W79:Y79))*(R$11*R79)</f>
        <v>0</v>
      </c>
      <c r="AA79" s="94">
        <f>($L79+SUM($W79:Z79))*(S$11*S79)</f>
        <v>0.3939178082191782</v>
      </c>
      <c r="AB79" s="94">
        <f>($L79+SUM($W79:AA79))*(T$11*T79)</f>
        <v>0.5152849641583789</v>
      </c>
      <c r="AC79" s="94">
        <f>($L79+SUM($W79:AB79))*(U$11*U79)</f>
        <v>0</v>
      </c>
      <c r="AD79" s="94">
        <f>($L79+SUM($W79:AB79))*(V$11*V79)</f>
        <v>0</v>
      </c>
      <c r="AE79" s="115">
        <f t="shared" si="78"/>
        <v>0.9092027723775571</v>
      </c>
    </row>
    <row r="80" spans="1:31" ht="12.75">
      <c r="A80" s="16">
        <v>1</v>
      </c>
      <c r="B80" s="15">
        <f t="shared" si="17"/>
        <v>40909</v>
      </c>
      <c r="C80" s="243">
        <f t="shared" si="74"/>
        <v>40942</v>
      </c>
      <c r="D80" s="243">
        <f t="shared" si="74"/>
        <v>40959</v>
      </c>
      <c r="E80" s="122" t="s">
        <v>143</v>
      </c>
      <c r="F80" s="16">
        <v>9</v>
      </c>
      <c r="G80" s="73">
        <v>18</v>
      </c>
      <c r="H80" s="249">
        <f aca="true" t="shared" si="81" ref="H80:H85">$K$3</f>
        <v>1.45</v>
      </c>
      <c r="I80" s="249">
        <f t="shared" si="64"/>
        <v>1.93</v>
      </c>
      <c r="J80" s="56">
        <f t="shared" si="10"/>
        <v>34.74</v>
      </c>
      <c r="K80" s="57">
        <f t="shared" si="70"/>
        <v>26.099999999999998</v>
      </c>
      <c r="L80" s="58">
        <f t="shared" si="72"/>
        <v>8.640000000000004</v>
      </c>
      <c r="M80" s="55">
        <f t="shared" si="77"/>
        <v>0.38939510409651873</v>
      </c>
      <c r="N80" s="29">
        <f t="shared" si="73"/>
        <v>9.029395104096523</v>
      </c>
      <c r="O80" s="16">
        <f t="shared" si="65"/>
        <v>41</v>
      </c>
      <c r="P80" s="16">
        <f t="shared" si="66"/>
        <v>91</v>
      </c>
      <c r="Q80" s="16">
        <f t="shared" si="67"/>
        <v>92</v>
      </c>
      <c r="R80" s="16">
        <f t="shared" si="79"/>
        <v>92</v>
      </c>
      <c r="S80" s="16">
        <f t="shared" si="80"/>
        <v>90</v>
      </c>
      <c r="T80" s="16">
        <f t="shared" si="80"/>
        <v>91</v>
      </c>
      <c r="U80" s="16">
        <f t="shared" si="80"/>
        <v>0</v>
      </c>
      <c r="V80" s="110">
        <f>IF(W$8&lt;V$8,0,IF($D80&lt;V$8,V$12,IF($D80&lt;W$8,W$8-$D80,0)))</f>
        <v>0</v>
      </c>
      <c r="W80" s="154">
        <f>$L80*O$11*O80</f>
        <v>0.031541917808219196</v>
      </c>
      <c r="X80" s="63">
        <f>($L80+SUM($W80:W80))*(P$11*P80)</f>
        <v>0.0702632471833365</v>
      </c>
      <c r="Y80" s="63">
        <f>($L80+SUM($W80:X80))*(Q$11*Q80)</f>
        <v>0.0716109518995199</v>
      </c>
      <c r="Z80" s="63">
        <f>($L80+SUM($W80:Y80))*(R$11*R80)</f>
        <v>0.07219757312192966</v>
      </c>
      <c r="AA80" s="63">
        <f>($L80+SUM($W80:Z80))*(S$11*S80)</f>
        <v>0.0712066302555837</v>
      </c>
      <c r="AB80" s="63">
        <f>($L80+SUM($W80:AA80))*(T$11*T80)</f>
        <v>0.07257478382792976</v>
      </c>
      <c r="AC80" s="63">
        <f>($L80+SUM($W80:AB80))*(U$11*U80)</f>
        <v>0</v>
      </c>
      <c r="AD80" s="63">
        <f>($L80+SUM($W80:AB80))*(V$11*V80)</f>
        <v>0</v>
      </c>
      <c r="AE80" s="114">
        <f aca="true" t="shared" si="82" ref="AE80:AE85">SUM(W80:AD80)</f>
        <v>0.38939510409651873</v>
      </c>
    </row>
    <row r="81" spans="1:31" ht="12.75">
      <c r="A81" s="3">
        <v>2</v>
      </c>
      <c r="B81" s="15">
        <f t="shared" si="17"/>
        <v>40940</v>
      </c>
      <c r="C81" s="244">
        <f t="shared" si="74"/>
        <v>40973</v>
      </c>
      <c r="D81" s="244">
        <f t="shared" si="74"/>
        <v>40988</v>
      </c>
      <c r="E81" s="71" t="s">
        <v>143</v>
      </c>
      <c r="F81" s="3">
        <v>9</v>
      </c>
      <c r="G81" s="73">
        <v>15</v>
      </c>
      <c r="H81" s="249">
        <f t="shared" si="81"/>
        <v>1.45</v>
      </c>
      <c r="I81" s="249">
        <f t="shared" si="64"/>
        <v>1.93</v>
      </c>
      <c r="J81" s="56">
        <f t="shared" si="10"/>
        <v>28.95</v>
      </c>
      <c r="K81" s="57">
        <f t="shared" si="70"/>
        <v>21.75</v>
      </c>
      <c r="L81" s="58">
        <f t="shared" si="72"/>
        <v>7.199999999999999</v>
      </c>
      <c r="M81" s="55">
        <f t="shared" si="77"/>
        <v>0.30513690223550755</v>
      </c>
      <c r="N81" s="29">
        <f t="shared" si="73"/>
        <v>7.505136902235507</v>
      </c>
      <c r="O81" s="16">
        <f t="shared" si="65"/>
        <v>12</v>
      </c>
      <c r="P81" s="16">
        <f t="shared" si="66"/>
        <v>91</v>
      </c>
      <c r="Q81" s="16">
        <f t="shared" si="67"/>
        <v>92</v>
      </c>
      <c r="R81" s="16">
        <f t="shared" si="79"/>
        <v>92</v>
      </c>
      <c r="S81" s="16">
        <f t="shared" si="80"/>
        <v>90</v>
      </c>
      <c r="T81" s="16">
        <f t="shared" si="80"/>
        <v>91</v>
      </c>
      <c r="U81" s="16">
        <f t="shared" si="80"/>
        <v>0</v>
      </c>
      <c r="V81" s="110">
        <f aca="true" t="shared" si="83" ref="V81:V91">IF(W$8&lt;V$8,0,IF($D81&lt;V$8,V$12,IF($D81&lt;W$8,W$8-$D81,0)))</f>
        <v>0</v>
      </c>
      <c r="W81" s="154">
        <f aca="true" t="shared" si="84" ref="W81:W91">$L81*O$11*O81</f>
        <v>0.007693150684931507</v>
      </c>
      <c r="X81" s="63">
        <f>($L81+SUM($W81:W81))*(P$11*P81)</f>
        <v>0.05840206162507037</v>
      </c>
      <c r="Y81" s="63">
        <f>($L81+SUM($W81:X81))*(Q$11*Q81)</f>
        <v>0.05952225941042987</v>
      </c>
      <c r="Z81" s="63">
        <f>($L81+SUM($W81:Y81))*(R$11*R81)</f>
        <v>0.06000985271354544</v>
      </c>
      <c r="AA81" s="63">
        <f>($L81+SUM($W81:Z81))*(S$11*S81)</f>
        <v>0.059186191572518844</v>
      </c>
      <c r="AB81" s="63">
        <f>($L81+SUM($W81:AA81))*(T$11*T81)</f>
        <v>0.06032338622901153</v>
      </c>
      <c r="AC81" s="63">
        <f>($L81+SUM($W81:AB81))*(U$11*U81)</f>
        <v>0</v>
      </c>
      <c r="AD81" s="63">
        <f>($L81+SUM($W81:AB81))*(V$11*V81)</f>
        <v>0</v>
      </c>
      <c r="AE81" s="114">
        <f t="shared" si="82"/>
        <v>0.30513690223550755</v>
      </c>
    </row>
    <row r="82" spans="1:31" ht="12.75">
      <c r="A82" s="3">
        <v>3</v>
      </c>
      <c r="B82" s="15">
        <f t="shared" si="17"/>
        <v>40969</v>
      </c>
      <c r="C82" s="244">
        <f t="shared" si="74"/>
        <v>41003</v>
      </c>
      <c r="D82" s="244">
        <f t="shared" si="74"/>
        <v>41018</v>
      </c>
      <c r="E82" s="71" t="s">
        <v>143</v>
      </c>
      <c r="F82" s="3">
        <v>9</v>
      </c>
      <c r="G82" s="73">
        <v>22</v>
      </c>
      <c r="H82" s="249">
        <f t="shared" si="81"/>
        <v>1.45</v>
      </c>
      <c r="I82" s="249">
        <f t="shared" si="64"/>
        <v>1.93</v>
      </c>
      <c r="J82" s="56">
        <f t="shared" si="10"/>
        <v>42.46</v>
      </c>
      <c r="K82" s="57">
        <f t="shared" si="70"/>
        <v>31.9</v>
      </c>
      <c r="L82" s="58">
        <f>+J82-K82</f>
        <v>10.560000000000002</v>
      </c>
      <c r="M82" s="55">
        <f t="shared" si="77"/>
        <v>0.4183034702646712</v>
      </c>
      <c r="N82" s="29">
        <f>SUM(L82:M82)</f>
        <v>10.978303470264674</v>
      </c>
      <c r="O82" s="16">
        <f t="shared" si="65"/>
        <v>0</v>
      </c>
      <c r="P82" s="16">
        <f t="shared" si="66"/>
        <v>73</v>
      </c>
      <c r="Q82" s="16">
        <f t="shared" si="67"/>
        <v>92</v>
      </c>
      <c r="R82" s="16">
        <f t="shared" si="79"/>
        <v>92</v>
      </c>
      <c r="S82" s="16">
        <f t="shared" si="80"/>
        <v>90</v>
      </c>
      <c r="T82" s="16">
        <f t="shared" si="80"/>
        <v>91</v>
      </c>
      <c r="U82" s="16">
        <f t="shared" si="80"/>
        <v>0</v>
      </c>
      <c r="V82" s="110">
        <f t="shared" si="83"/>
        <v>0</v>
      </c>
      <c r="W82" s="154">
        <f t="shared" si="84"/>
        <v>0</v>
      </c>
      <c r="X82" s="63">
        <f>($L82+SUM($W82:W82))*(P$11*P82)</f>
        <v>0.06864</v>
      </c>
      <c r="Y82" s="63">
        <f>($L82+SUM($W82:X82))*(Q$11*Q82)</f>
        <v>0.08706748931506851</v>
      </c>
      <c r="Z82" s="63">
        <f>($L82+SUM($W82:Y82))*(R$11*R82)</f>
        <v>0.0877807271042522</v>
      </c>
      <c r="AA82" s="63">
        <f>($L82+SUM($W82:Z82))*(S$11*S82)</f>
        <v>0.08657589872062059</v>
      </c>
      <c r="AB82" s="63">
        <f>($L82+SUM($W82:AA82))*(T$11*T82)</f>
        <v>0.08823935512472983</v>
      </c>
      <c r="AC82" s="63">
        <f>($L82+SUM($W82:AB82))*(U$11*U82)</f>
        <v>0</v>
      </c>
      <c r="AD82" s="63">
        <f>($L82+SUM($W82:AB82))*(V$11*V82)</f>
        <v>0</v>
      </c>
      <c r="AE82" s="114">
        <f t="shared" si="82"/>
        <v>0.4183034702646712</v>
      </c>
    </row>
    <row r="83" spans="1:31" ht="12.75">
      <c r="A83" s="16">
        <v>4</v>
      </c>
      <c r="B83" s="15">
        <f t="shared" si="17"/>
        <v>41000</v>
      </c>
      <c r="C83" s="244">
        <f t="shared" si="74"/>
        <v>41032</v>
      </c>
      <c r="D83" s="244">
        <f t="shared" si="74"/>
        <v>41047</v>
      </c>
      <c r="E83" s="30" t="s">
        <v>143</v>
      </c>
      <c r="F83" s="3">
        <v>9</v>
      </c>
      <c r="G83" s="73">
        <v>9</v>
      </c>
      <c r="H83" s="249">
        <f t="shared" si="81"/>
        <v>1.45</v>
      </c>
      <c r="I83" s="249">
        <f t="shared" si="64"/>
        <v>1.93</v>
      </c>
      <c r="J83" s="56">
        <f t="shared" si="10"/>
        <v>17.37</v>
      </c>
      <c r="K83" s="57">
        <f t="shared" si="70"/>
        <v>13.049999999999999</v>
      </c>
      <c r="L83" s="58">
        <f aca="true" t="shared" si="85" ref="L83:L93">+J83-K83</f>
        <v>4.320000000000002</v>
      </c>
      <c r="M83" s="55">
        <f t="shared" si="77"/>
        <v>0.15960209639605966</v>
      </c>
      <c r="N83" s="29">
        <f aca="true" t="shared" si="86" ref="N83:N93">SUM(L83:M83)</f>
        <v>4.479602096396062</v>
      </c>
      <c r="O83" s="16">
        <f t="shared" si="65"/>
        <v>0</v>
      </c>
      <c r="P83" s="16">
        <f t="shared" si="66"/>
        <v>44</v>
      </c>
      <c r="Q83" s="16">
        <f t="shared" si="67"/>
        <v>92</v>
      </c>
      <c r="R83" s="16">
        <f t="shared" si="79"/>
        <v>92</v>
      </c>
      <c r="S83" s="16">
        <f t="shared" si="80"/>
        <v>90</v>
      </c>
      <c r="T83" s="16">
        <f t="shared" si="80"/>
        <v>91</v>
      </c>
      <c r="U83" s="16">
        <f t="shared" si="80"/>
        <v>0</v>
      </c>
      <c r="V83" s="110">
        <f t="shared" si="83"/>
        <v>0</v>
      </c>
      <c r="W83" s="154">
        <f t="shared" si="84"/>
        <v>0</v>
      </c>
      <c r="X83" s="63">
        <f>($L83+SUM($W83:W83))*(P$11*P83)</f>
        <v>0.016924931506849324</v>
      </c>
      <c r="Y83" s="63">
        <f>($L83+SUM($W83:X83))*(Q$11*Q83)</f>
        <v>0.03552713848001502</v>
      </c>
      <c r="Z83" s="63">
        <f>($L83+SUM($W83:Y83))*(R$11*R83)</f>
        <v>0.03581816901167323</v>
      </c>
      <c r="AA83" s="63">
        <f>($L83+SUM($W83:Z83))*(S$11*S83)</f>
        <v>0.035326549175536244</v>
      </c>
      <c r="AB83" s="63">
        <f>($L83+SUM($W83:AA83))*(T$11*T83)</f>
        <v>0.03600530822198583</v>
      </c>
      <c r="AC83" s="63">
        <f>($L83+SUM($W83:AB83))*(U$11*U83)</f>
        <v>0</v>
      </c>
      <c r="AD83" s="63">
        <f>($L83+SUM($W83:AB83))*(V$11*V83)</f>
        <v>0</v>
      </c>
      <c r="AE83" s="114">
        <f t="shared" si="82"/>
        <v>0.15960209639605966</v>
      </c>
    </row>
    <row r="84" spans="1:31" ht="12.75">
      <c r="A84" s="3">
        <v>5</v>
      </c>
      <c r="B84" s="15">
        <f t="shared" si="17"/>
        <v>41030</v>
      </c>
      <c r="C84" s="244">
        <f t="shared" si="74"/>
        <v>41065</v>
      </c>
      <c r="D84" s="244">
        <f t="shared" si="74"/>
        <v>41080</v>
      </c>
      <c r="E84" s="30" t="s">
        <v>143</v>
      </c>
      <c r="F84" s="3">
        <v>9</v>
      </c>
      <c r="G84" s="73">
        <v>20</v>
      </c>
      <c r="H84" s="249">
        <f t="shared" si="81"/>
        <v>1.45</v>
      </c>
      <c r="I84" s="249">
        <f t="shared" si="64"/>
        <v>1.93</v>
      </c>
      <c r="J84" s="56">
        <f t="shared" si="10"/>
        <v>38.6</v>
      </c>
      <c r="K84" s="57">
        <f t="shared" si="70"/>
        <v>29</v>
      </c>
      <c r="L84" s="58">
        <f t="shared" si="85"/>
        <v>9.600000000000001</v>
      </c>
      <c r="M84" s="55">
        <f t="shared" si="77"/>
        <v>0.3255351055925391</v>
      </c>
      <c r="N84" s="29">
        <f t="shared" si="86"/>
        <v>9.925535105592541</v>
      </c>
      <c r="O84" s="16">
        <f t="shared" si="65"/>
        <v>0</v>
      </c>
      <c r="P84" s="16">
        <f t="shared" si="66"/>
        <v>11</v>
      </c>
      <c r="Q84" s="16">
        <f t="shared" si="67"/>
        <v>92</v>
      </c>
      <c r="R84" s="16">
        <f t="shared" si="79"/>
        <v>92</v>
      </c>
      <c r="S84" s="16">
        <f t="shared" si="80"/>
        <v>90</v>
      </c>
      <c r="T84" s="16">
        <f t="shared" si="80"/>
        <v>91</v>
      </c>
      <c r="U84" s="16">
        <f t="shared" si="80"/>
        <v>0</v>
      </c>
      <c r="V84" s="110">
        <f t="shared" si="83"/>
        <v>0</v>
      </c>
      <c r="W84" s="154">
        <f t="shared" si="84"/>
        <v>0</v>
      </c>
      <c r="X84" s="63">
        <f>($L84+SUM($W84:W84))*(P$11*P84)</f>
        <v>0.009402739726027398</v>
      </c>
      <c r="Y84" s="63">
        <f>($L84+SUM($W84:X84))*(Q$11*Q84)</f>
        <v>0.07871812107337212</v>
      </c>
      <c r="Z84" s="63">
        <f>($L84+SUM($W84:Y84))*(R$11*R84)</f>
        <v>0.07936296266791837</v>
      </c>
      <c r="AA84" s="63">
        <f>($L84+SUM($W84:Z84))*(S$11*S84)</f>
        <v>0.07827367173600523</v>
      </c>
      <c r="AB84" s="63">
        <f>($L84+SUM($W84:AA84))*(T$11*T84)</f>
        <v>0.07977761038921598</v>
      </c>
      <c r="AC84" s="63">
        <f>($L84+SUM($W84:AB84))*(U$11*U84)</f>
        <v>0</v>
      </c>
      <c r="AD84" s="63">
        <f>($L84+SUM($W84:AB84))*(V$11*V84)</f>
        <v>0</v>
      </c>
      <c r="AE84" s="114">
        <f t="shared" si="82"/>
        <v>0.3255351055925391</v>
      </c>
    </row>
    <row r="85" spans="1:31" ht="12.75">
      <c r="A85" s="3">
        <v>6</v>
      </c>
      <c r="B85" s="15">
        <f aca="true" t="shared" si="87" ref="B85:B148">DATE($N$1,A85,1)</f>
        <v>41061</v>
      </c>
      <c r="C85" s="244">
        <f t="shared" si="74"/>
        <v>41095</v>
      </c>
      <c r="D85" s="244">
        <f t="shared" si="74"/>
        <v>41110</v>
      </c>
      <c r="E85" s="30" t="s">
        <v>143</v>
      </c>
      <c r="F85" s="3">
        <v>9</v>
      </c>
      <c r="G85" s="73">
        <v>24</v>
      </c>
      <c r="H85" s="249">
        <f t="shared" si="81"/>
        <v>1.45</v>
      </c>
      <c r="I85" s="249">
        <f t="shared" si="64"/>
        <v>1.93</v>
      </c>
      <c r="J85" s="56">
        <f aca="true" t="shared" si="88" ref="J85:J148">+$G85*I85</f>
        <v>46.32</v>
      </c>
      <c r="K85" s="57">
        <f t="shared" si="70"/>
        <v>34.8</v>
      </c>
      <c r="L85" s="79">
        <f t="shared" si="85"/>
        <v>11.520000000000003</v>
      </c>
      <c r="M85" s="80">
        <f t="shared" si="77"/>
        <v>0.35902072431791865</v>
      </c>
      <c r="N85" s="78">
        <f t="shared" si="86"/>
        <v>11.879020724317922</v>
      </c>
      <c r="O85" s="16">
        <f aca="true" t="shared" si="89" ref="O85:U85">IF($D85&lt;O$8,O$12,IF($D85&lt;P$8,P$8-$D85,0))</f>
        <v>0</v>
      </c>
      <c r="P85" s="16">
        <f t="shared" si="89"/>
        <v>0</v>
      </c>
      <c r="Q85" s="16">
        <f t="shared" si="89"/>
        <v>73</v>
      </c>
      <c r="R85" s="16">
        <f t="shared" si="89"/>
        <v>92</v>
      </c>
      <c r="S85" s="16">
        <f t="shared" si="89"/>
        <v>90</v>
      </c>
      <c r="T85" s="16">
        <f t="shared" si="89"/>
        <v>91</v>
      </c>
      <c r="U85" s="16">
        <f t="shared" si="89"/>
        <v>0</v>
      </c>
      <c r="V85" s="110">
        <f>IF(W$8&lt;V$8,0,IF($D85&lt;V$8,V$12,IF($D85&lt;W$8,W$8-$D85,0)))</f>
        <v>0</v>
      </c>
      <c r="W85" s="154">
        <f>$L85*O$11*O85</f>
        <v>0</v>
      </c>
      <c r="X85" s="63">
        <f>($L85+SUM($W85:W85))*(P$11*P85)</f>
        <v>0</v>
      </c>
      <c r="Y85" s="63">
        <f>($L85+SUM($W85:X85))*(Q$11*Q85)</f>
        <v>0.07488000000000002</v>
      </c>
      <c r="Z85" s="63">
        <f>($L85+SUM($W85:Y85))*(R$11*R85)</f>
        <v>0.09498271561643837</v>
      </c>
      <c r="AA85" s="63">
        <f>($L85+SUM($W85:Z85))*(S$11*S85)</f>
        <v>0.09367903683062491</v>
      </c>
      <c r="AB85" s="63">
        <f>($L85+SUM($W85:AA85))*(T$11*T85)</f>
        <v>0.09547897187085534</v>
      </c>
      <c r="AC85" s="63">
        <f>($L85+SUM($W85:AB85))*(U$11*U85)</f>
        <v>0</v>
      </c>
      <c r="AD85" s="63">
        <f>($L85+SUM($W85:AB85))*(V$11*V85)</f>
        <v>0</v>
      </c>
      <c r="AE85" s="114">
        <f t="shared" si="82"/>
        <v>0.35902072431791865</v>
      </c>
    </row>
    <row r="86" spans="1:31" ht="12.75">
      <c r="A86" s="16">
        <v>7</v>
      </c>
      <c r="B86" s="15">
        <f t="shared" si="87"/>
        <v>41091</v>
      </c>
      <c r="C86" s="244">
        <f t="shared" si="74"/>
        <v>41124</v>
      </c>
      <c r="D86" s="244">
        <f t="shared" si="74"/>
        <v>41141</v>
      </c>
      <c r="E86" s="30" t="s">
        <v>143</v>
      </c>
      <c r="F86" s="3">
        <v>9</v>
      </c>
      <c r="G86" s="73">
        <v>19</v>
      </c>
      <c r="H86" s="249">
        <f aca="true" t="shared" si="90" ref="H86:H91">$K$8</f>
        <v>1.14</v>
      </c>
      <c r="I86" s="249">
        <f aca="true" t="shared" si="91" ref="I86:I91">J$8</f>
        <v>1.93</v>
      </c>
      <c r="J86" s="56">
        <f t="shared" si="88"/>
        <v>36.67</v>
      </c>
      <c r="K86" s="57">
        <f t="shared" si="70"/>
        <v>21.659999999999997</v>
      </c>
      <c r="L86" s="79">
        <f t="shared" si="85"/>
        <v>15.010000000000005</v>
      </c>
      <c r="M86" s="77">
        <f t="shared" si="77"/>
        <v>0.4253395256857021</v>
      </c>
      <c r="N86" s="78">
        <f t="shared" si="86"/>
        <v>15.435339525685707</v>
      </c>
      <c r="O86" s="16">
        <f t="shared" si="65"/>
        <v>0</v>
      </c>
      <c r="P86" s="16">
        <f t="shared" si="66"/>
        <v>0</v>
      </c>
      <c r="Q86" s="16">
        <f t="shared" si="67"/>
        <v>42</v>
      </c>
      <c r="R86" s="16">
        <f t="shared" si="79"/>
        <v>92</v>
      </c>
      <c r="S86" s="16">
        <f t="shared" si="80"/>
        <v>90</v>
      </c>
      <c r="T86" s="16">
        <f t="shared" si="80"/>
        <v>91</v>
      </c>
      <c r="U86" s="16">
        <f t="shared" si="80"/>
        <v>0</v>
      </c>
      <c r="V86" s="110">
        <f t="shared" si="83"/>
        <v>0</v>
      </c>
      <c r="W86" s="154">
        <f t="shared" si="84"/>
        <v>0</v>
      </c>
      <c r="X86" s="63">
        <f>($L86+SUM($W86:W86))*(P$11*P86)</f>
        <v>0</v>
      </c>
      <c r="Y86" s="63">
        <f>($L86+SUM($W86:X86))*(Q$11*Q86)</f>
        <v>0.0561332876712329</v>
      </c>
      <c r="Z86" s="63">
        <f>($L86+SUM($W86:Y86))*(R$11*R86)</f>
        <v>0.12341846172640274</v>
      </c>
      <c r="AA86" s="63">
        <f>($L86+SUM($W86:Z86))*(S$11*S86)</f>
        <v>0.12172449004654273</v>
      </c>
      <c r="AB86" s="63">
        <f>($L86+SUM($W86:AA86))*(T$11*T86)</f>
        <v>0.12406328624152375</v>
      </c>
      <c r="AC86" s="63">
        <f>($L86+SUM($W86:AB86))*(U$11*U86)</f>
        <v>0</v>
      </c>
      <c r="AD86" s="63">
        <f>($L86+SUM($W86:AB86))*(V$11*V86)</f>
        <v>0</v>
      </c>
      <c r="AE86" s="114">
        <f aca="true" t="shared" si="92" ref="AE86:AE91">SUM(W86:AD86)</f>
        <v>0.4253395256857021</v>
      </c>
    </row>
    <row r="87" spans="1:31" ht="12.75">
      <c r="A87" s="3">
        <v>8</v>
      </c>
      <c r="B87" s="15">
        <f t="shared" si="87"/>
        <v>41122</v>
      </c>
      <c r="C87" s="244">
        <f t="shared" si="74"/>
        <v>41158</v>
      </c>
      <c r="D87" s="244">
        <f t="shared" si="74"/>
        <v>41173</v>
      </c>
      <c r="E87" s="30" t="s">
        <v>143</v>
      </c>
      <c r="F87" s="3">
        <v>9</v>
      </c>
      <c r="G87" s="73">
        <v>23</v>
      </c>
      <c r="H87" s="249">
        <f t="shared" si="90"/>
        <v>1.14</v>
      </c>
      <c r="I87" s="249">
        <f t="shared" si="91"/>
        <v>1.93</v>
      </c>
      <c r="J87" s="56">
        <f t="shared" si="88"/>
        <v>44.39</v>
      </c>
      <c r="K87" s="57">
        <f t="shared" si="70"/>
        <v>26.22</v>
      </c>
      <c r="L87" s="79">
        <f t="shared" si="85"/>
        <v>18.17</v>
      </c>
      <c r="M87" s="77">
        <f t="shared" si="77"/>
        <v>0.4618439234220646</v>
      </c>
      <c r="N87" s="78">
        <f t="shared" si="86"/>
        <v>18.631843923422068</v>
      </c>
      <c r="O87" s="16">
        <f t="shared" si="65"/>
        <v>0</v>
      </c>
      <c r="P87" s="16">
        <f t="shared" si="66"/>
        <v>0</v>
      </c>
      <c r="Q87" s="16">
        <f t="shared" si="67"/>
        <v>10</v>
      </c>
      <c r="R87" s="16">
        <f t="shared" si="79"/>
        <v>92</v>
      </c>
      <c r="S87" s="16">
        <f t="shared" si="80"/>
        <v>90</v>
      </c>
      <c r="T87" s="16">
        <f t="shared" si="80"/>
        <v>91</v>
      </c>
      <c r="U87" s="16">
        <f t="shared" si="80"/>
        <v>0</v>
      </c>
      <c r="V87" s="110">
        <f t="shared" si="83"/>
        <v>0</v>
      </c>
      <c r="W87" s="154">
        <f t="shared" si="84"/>
        <v>0</v>
      </c>
      <c r="X87" s="63">
        <f>($L87+SUM($W87:W87))*(P$11*P87)</f>
        <v>0</v>
      </c>
      <c r="Y87" s="63">
        <f>($L87+SUM($W87:X87))*(Q$11*Q87)</f>
        <v>0.016178767123287672</v>
      </c>
      <c r="Z87" s="63">
        <f>($L87+SUM($W87:Y87))*(R$11*R87)</f>
        <v>0.14897719044848942</v>
      </c>
      <c r="AA87" s="63">
        <f>($L87+SUM($W87:Z87))*(S$11*S87)</f>
        <v>0.14693241418054095</v>
      </c>
      <c r="AB87" s="63">
        <f>($L87+SUM($W87:AA87))*(T$11*T87)</f>
        <v>0.14975555166974652</v>
      </c>
      <c r="AC87" s="63">
        <f>($L87+SUM($W87:AB87))*(U$11*U87)</f>
        <v>0</v>
      </c>
      <c r="AD87" s="63">
        <f>($L87+SUM($W87:AB87))*(V$11*V87)</f>
        <v>0</v>
      </c>
      <c r="AE87" s="114">
        <f t="shared" si="92"/>
        <v>0.4618439234220646</v>
      </c>
    </row>
    <row r="88" spans="1:31" ht="12.75">
      <c r="A88" s="3">
        <v>9</v>
      </c>
      <c r="B88" s="15">
        <f t="shared" si="87"/>
        <v>41153</v>
      </c>
      <c r="C88" s="244">
        <f t="shared" si="74"/>
        <v>41185</v>
      </c>
      <c r="D88" s="244">
        <f t="shared" si="74"/>
        <v>41200</v>
      </c>
      <c r="E88" s="30" t="s">
        <v>143</v>
      </c>
      <c r="F88" s="3">
        <v>9</v>
      </c>
      <c r="G88" s="73">
        <v>24</v>
      </c>
      <c r="H88" s="249">
        <f t="shared" si="90"/>
        <v>1.14</v>
      </c>
      <c r="I88" s="249">
        <f t="shared" si="91"/>
        <v>1.93</v>
      </c>
      <c r="J88" s="56">
        <f t="shared" si="88"/>
        <v>46.32</v>
      </c>
      <c r="K88" s="57">
        <f t="shared" si="70"/>
        <v>27.36</v>
      </c>
      <c r="L88" s="79">
        <f t="shared" si="85"/>
        <v>18.96</v>
      </c>
      <c r="M88" s="77">
        <f t="shared" si="77"/>
        <v>0.43546406524106274</v>
      </c>
      <c r="N88" s="78">
        <f t="shared" si="86"/>
        <v>19.395464065241065</v>
      </c>
      <c r="O88" s="16">
        <f t="shared" si="65"/>
        <v>0</v>
      </c>
      <c r="P88" s="16">
        <f t="shared" si="66"/>
        <v>0</v>
      </c>
      <c r="Q88" s="16">
        <f t="shared" si="67"/>
        <v>0</v>
      </c>
      <c r="R88" s="16">
        <f t="shared" si="79"/>
        <v>75</v>
      </c>
      <c r="S88" s="16">
        <f t="shared" si="80"/>
        <v>90</v>
      </c>
      <c r="T88" s="16">
        <f t="shared" si="80"/>
        <v>91</v>
      </c>
      <c r="U88" s="16">
        <f t="shared" si="80"/>
        <v>0</v>
      </c>
      <c r="V88" s="110">
        <f t="shared" si="83"/>
        <v>0</v>
      </c>
      <c r="W88" s="154">
        <f t="shared" si="84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0.1266164383561644</v>
      </c>
      <c r="AA88" s="63">
        <f>($L88+SUM($W88:Z88))*(S$11*S88)</f>
        <v>0.15295439200600489</v>
      </c>
      <c r="AB88" s="63">
        <f>($L88+SUM($W88:AA88))*(T$11*T88)</f>
        <v>0.15589323487889348</v>
      </c>
      <c r="AC88" s="63">
        <f>($L88+SUM($W88:AB88))*(U$11*U88)</f>
        <v>0</v>
      </c>
      <c r="AD88" s="63">
        <f>($L88+SUM($W88:AB88))*(V$11*V88)</f>
        <v>0</v>
      </c>
      <c r="AE88" s="114">
        <f t="shared" si="92"/>
        <v>0.43546406524106274</v>
      </c>
    </row>
    <row r="89" spans="1:31" ht="12.75">
      <c r="A89" s="16">
        <v>10</v>
      </c>
      <c r="B89" s="15">
        <f t="shared" si="87"/>
        <v>41183</v>
      </c>
      <c r="C89" s="244">
        <f t="shared" si="74"/>
        <v>41218</v>
      </c>
      <c r="D89" s="244">
        <f t="shared" si="74"/>
        <v>41233</v>
      </c>
      <c r="E89" s="30" t="s">
        <v>143</v>
      </c>
      <c r="F89" s="3">
        <v>9</v>
      </c>
      <c r="G89" s="73">
        <v>22</v>
      </c>
      <c r="H89" s="249">
        <f t="shared" si="90"/>
        <v>1.14</v>
      </c>
      <c r="I89" s="249">
        <f t="shared" si="91"/>
        <v>1.93</v>
      </c>
      <c r="J89" s="56">
        <f t="shared" si="88"/>
        <v>42.46</v>
      </c>
      <c r="K89" s="57">
        <f t="shared" si="70"/>
        <v>25.08</v>
      </c>
      <c r="L89" s="79">
        <f t="shared" si="85"/>
        <v>17.380000000000003</v>
      </c>
      <c r="M89" s="77">
        <f t="shared" si="77"/>
        <v>0.3472804025361369</v>
      </c>
      <c r="N89" s="78">
        <f t="shared" si="86"/>
        <v>17.727280402536138</v>
      </c>
      <c r="O89" s="16">
        <f t="shared" si="65"/>
        <v>0</v>
      </c>
      <c r="P89" s="16">
        <f t="shared" si="66"/>
        <v>0</v>
      </c>
      <c r="Q89" s="16">
        <f t="shared" si="67"/>
        <v>0</v>
      </c>
      <c r="R89" s="16">
        <f t="shared" si="79"/>
        <v>42</v>
      </c>
      <c r="S89" s="16">
        <f t="shared" si="80"/>
        <v>90</v>
      </c>
      <c r="T89" s="16">
        <f t="shared" si="80"/>
        <v>91</v>
      </c>
      <c r="U89" s="16">
        <f t="shared" si="80"/>
        <v>0</v>
      </c>
      <c r="V89" s="110">
        <f t="shared" si="83"/>
        <v>0</v>
      </c>
      <c r="W89" s="154">
        <f t="shared" si="84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0.0649964383561644</v>
      </c>
      <c r="AA89" s="63">
        <f>($L89+SUM($W89:Z89))*(S$11*S89)</f>
        <v>0.1397989440607994</v>
      </c>
      <c r="AB89" s="63">
        <f>($L89+SUM($W89:AA89))*(T$11*T89)</f>
        <v>0.1424850201191731</v>
      </c>
      <c r="AC89" s="63">
        <f>($L89+SUM($W89:AB89))*(U$11*U89)</f>
        <v>0</v>
      </c>
      <c r="AD89" s="63">
        <f>($L89+SUM($W89:AB89))*(V$11*V89)</f>
        <v>0</v>
      </c>
      <c r="AE89" s="114">
        <f t="shared" si="92"/>
        <v>0.3472804025361369</v>
      </c>
    </row>
    <row r="90" spans="1:31" ht="12.75">
      <c r="A90" s="3">
        <v>11</v>
      </c>
      <c r="B90" s="15">
        <f t="shared" si="87"/>
        <v>41214</v>
      </c>
      <c r="C90" s="244">
        <f t="shared" si="74"/>
        <v>41248</v>
      </c>
      <c r="D90" s="244">
        <f t="shared" si="74"/>
        <v>41263</v>
      </c>
      <c r="E90" s="30" t="s">
        <v>143</v>
      </c>
      <c r="F90" s="3">
        <v>9</v>
      </c>
      <c r="G90" s="73">
        <v>21</v>
      </c>
      <c r="H90" s="249">
        <f t="shared" si="90"/>
        <v>1.14</v>
      </c>
      <c r="I90" s="249">
        <f t="shared" si="91"/>
        <v>1.93</v>
      </c>
      <c r="J90" s="56">
        <f t="shared" si="88"/>
        <v>40.53</v>
      </c>
      <c r="K90" s="57">
        <f t="shared" si="70"/>
        <v>23.939999999999998</v>
      </c>
      <c r="L90" s="79">
        <f t="shared" si="85"/>
        <v>16.590000000000003</v>
      </c>
      <c r="M90" s="77">
        <f t="shared" si="77"/>
        <v>0.2864620866096355</v>
      </c>
      <c r="N90" s="78">
        <f t="shared" si="86"/>
        <v>16.87646208660964</v>
      </c>
      <c r="O90" s="16">
        <f t="shared" si="65"/>
        <v>0</v>
      </c>
      <c r="P90" s="16">
        <f t="shared" si="66"/>
        <v>0</v>
      </c>
      <c r="Q90" s="16">
        <f t="shared" si="67"/>
        <v>0</v>
      </c>
      <c r="R90" s="16">
        <f t="shared" si="79"/>
        <v>12</v>
      </c>
      <c r="S90" s="16">
        <f t="shared" si="80"/>
        <v>90</v>
      </c>
      <c r="T90" s="16">
        <f t="shared" si="80"/>
        <v>91</v>
      </c>
      <c r="U90" s="16">
        <f t="shared" si="80"/>
        <v>0</v>
      </c>
      <c r="V90" s="110">
        <f t="shared" si="83"/>
        <v>0</v>
      </c>
      <c r="W90" s="154">
        <f t="shared" si="84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0.01772630136986302</v>
      </c>
      <c r="AA90" s="63">
        <f>($L90+SUM($W90:Z90))*(S$11*S90)</f>
        <v>0.1330893135109777</v>
      </c>
      <c r="AB90" s="63">
        <f>($L90+SUM($W90:AA90))*(T$11*T90)</f>
        <v>0.1356464717287948</v>
      </c>
      <c r="AC90" s="63">
        <f>($L90+SUM($W90:AB90))*(U$11*U90)</f>
        <v>0</v>
      </c>
      <c r="AD90" s="63">
        <f>($L90+SUM($W90:AB90))*(V$11*V90)</f>
        <v>0</v>
      </c>
      <c r="AE90" s="114">
        <f t="shared" si="92"/>
        <v>0.2864620866096355</v>
      </c>
    </row>
    <row r="91" spans="1:31" s="70" customFormat="1" ht="12.75">
      <c r="A91" s="3">
        <v>12</v>
      </c>
      <c r="B91" s="86">
        <f t="shared" si="87"/>
        <v>41244</v>
      </c>
      <c r="C91" s="244">
        <f t="shared" si="74"/>
        <v>41278</v>
      </c>
      <c r="D91" s="244">
        <f t="shared" si="74"/>
        <v>41295</v>
      </c>
      <c r="E91" s="87" t="s">
        <v>143</v>
      </c>
      <c r="F91" s="83">
        <v>9</v>
      </c>
      <c r="G91" s="88">
        <v>23</v>
      </c>
      <c r="H91" s="250">
        <f t="shared" si="90"/>
        <v>1.14</v>
      </c>
      <c r="I91" s="250">
        <f t="shared" si="91"/>
        <v>1.93</v>
      </c>
      <c r="J91" s="89">
        <f t="shared" si="88"/>
        <v>44.39</v>
      </c>
      <c r="K91" s="308">
        <f t="shared" si="70"/>
        <v>26.22</v>
      </c>
      <c r="L91" s="91">
        <f t="shared" si="85"/>
        <v>18.17</v>
      </c>
      <c r="M91" s="92">
        <f t="shared" si="77"/>
        <v>0.2613957970585476</v>
      </c>
      <c r="N91" s="93">
        <f t="shared" si="86"/>
        <v>18.43139579705855</v>
      </c>
      <c r="O91" s="83">
        <f t="shared" si="65"/>
        <v>0</v>
      </c>
      <c r="P91" s="83">
        <f t="shared" si="66"/>
        <v>0</v>
      </c>
      <c r="Q91" s="83">
        <f t="shared" si="67"/>
        <v>0</v>
      </c>
      <c r="R91" s="83">
        <f t="shared" si="79"/>
        <v>0</v>
      </c>
      <c r="S91" s="83">
        <f t="shared" si="80"/>
        <v>70</v>
      </c>
      <c r="T91" s="83">
        <f t="shared" si="80"/>
        <v>91</v>
      </c>
      <c r="U91" s="83">
        <f t="shared" si="80"/>
        <v>0</v>
      </c>
      <c r="V91" s="111">
        <f t="shared" si="83"/>
        <v>0</v>
      </c>
      <c r="W91" s="155">
        <f t="shared" si="84"/>
        <v>0</v>
      </c>
      <c r="X91" s="94">
        <f>($L91+SUM($W91:W91))*(P$11*P91)</f>
        <v>0</v>
      </c>
      <c r="Y91" s="94">
        <f>($L91+SUM($W91:X91))*(Q$11*Q91)</f>
        <v>0</v>
      </c>
      <c r="Z91" s="94">
        <f>($L91+SUM($W91:Y91))*(R$11*R91)</f>
        <v>0</v>
      </c>
      <c r="AA91" s="94">
        <f>($L91+SUM($W91:Z91))*(S$11*S91)</f>
        <v>0.1132513698630137</v>
      </c>
      <c r="AB91" s="94">
        <f>($L91+SUM($W91:AA91))*(T$11*T91)</f>
        <v>0.1481444271955339</v>
      </c>
      <c r="AC91" s="94">
        <f>($L91+SUM($W91:AB91))*(U$11*U91)</f>
        <v>0</v>
      </c>
      <c r="AD91" s="94">
        <f>($L91+SUM($W91:AB91))*(V$11*V91)</f>
        <v>0</v>
      </c>
      <c r="AE91" s="115">
        <f t="shared" si="92"/>
        <v>0.2613957970585476</v>
      </c>
    </row>
    <row r="92" spans="1:31" ht="12.75">
      <c r="A92" s="16">
        <v>1</v>
      </c>
      <c r="B92" s="15">
        <f t="shared" si="87"/>
        <v>40909</v>
      </c>
      <c r="C92" s="243">
        <f aca="true" t="shared" si="93" ref="C92:D111">+C80</f>
        <v>40942</v>
      </c>
      <c r="D92" s="243">
        <f t="shared" si="93"/>
        <v>40959</v>
      </c>
      <c r="E92" s="122" t="s">
        <v>137</v>
      </c>
      <c r="F92" s="16">
        <v>9</v>
      </c>
      <c r="G92" s="73">
        <v>693</v>
      </c>
      <c r="H92" s="249">
        <f aca="true" t="shared" si="94" ref="H92:H97">$K$3</f>
        <v>1.45</v>
      </c>
      <c r="I92" s="249">
        <f aca="true" t="shared" si="95" ref="I92:I109">$J$3</f>
        <v>1.93</v>
      </c>
      <c r="J92" s="56">
        <f t="shared" si="88"/>
        <v>1337.49</v>
      </c>
      <c r="K92" s="57">
        <f t="shared" si="70"/>
        <v>1004.85</v>
      </c>
      <c r="L92" s="58">
        <f t="shared" si="85"/>
        <v>332.64</v>
      </c>
      <c r="M92" s="55">
        <f t="shared" si="77"/>
        <v>14.991711507715962</v>
      </c>
      <c r="N92" s="29">
        <f t="shared" si="86"/>
        <v>347.631711507716</v>
      </c>
      <c r="O92" s="16">
        <f aca="true" t="shared" si="96" ref="O92:O127">IF($D92&lt;O$8,O$12,IF($D92&lt;P$8,P$8-$D92,0))</f>
        <v>41</v>
      </c>
      <c r="P92" s="16">
        <f aca="true" t="shared" si="97" ref="P92:P127">IF($D92&lt;P$8,P$12,IF($D92&lt;Q$8,Q$8-$D92,0))</f>
        <v>91</v>
      </c>
      <c r="Q92" s="16">
        <f aca="true" t="shared" si="98" ref="Q92:Q127">IF($D92&lt;Q$8,Q$12,IF($D92&lt;R$8,R$8-$D92,0))</f>
        <v>92</v>
      </c>
      <c r="R92" s="16">
        <f t="shared" si="79"/>
        <v>92</v>
      </c>
      <c r="S92" s="16">
        <f t="shared" si="80"/>
        <v>90</v>
      </c>
      <c r="T92" s="16">
        <f t="shared" si="80"/>
        <v>91</v>
      </c>
      <c r="U92" s="16">
        <f t="shared" si="80"/>
        <v>0</v>
      </c>
      <c r="V92" s="110">
        <f>IF(W$8&lt;V$8,0,IF($D92&lt;V$8,V$12,IF($D92&lt;W$8,W$8-$D92,0)))</f>
        <v>0</v>
      </c>
      <c r="W92" s="154">
        <f>$L92*O$11*O92</f>
        <v>1.2143638356164383</v>
      </c>
      <c r="X92" s="63">
        <f>($L92+SUM($W92:W92))*(P$11*P92)</f>
        <v>2.7051350165584536</v>
      </c>
      <c r="Y92" s="63">
        <f>($L92+SUM($W92:X92))*(Q$11*Q92)</f>
        <v>2.7570216481315146</v>
      </c>
      <c r="Z92" s="63">
        <f>($L92+SUM($W92:Y92))*(R$11*R92)</f>
        <v>2.7796065651942907</v>
      </c>
      <c r="AA92" s="63">
        <f>($L92+SUM($W92:Z92))*(S$11*S92)</f>
        <v>2.741455264839971</v>
      </c>
      <c r="AB92" s="63">
        <f>($L92+SUM($W92:AA92))*(T$11*T92)</f>
        <v>2.7941291773752943</v>
      </c>
      <c r="AC92" s="63">
        <f>($L92+SUM($W92:AB92))*(U$11*U92)</f>
        <v>0</v>
      </c>
      <c r="AD92" s="63">
        <f>($L92+SUM($W92:AB92))*(V$11*V92)</f>
        <v>0</v>
      </c>
      <c r="AE92" s="114">
        <f aca="true" t="shared" si="99" ref="AE92:AE97">SUM(W92:AD92)</f>
        <v>14.991711507715962</v>
      </c>
    </row>
    <row r="93" spans="1:31" ht="12.75">
      <c r="A93" s="3">
        <v>2</v>
      </c>
      <c r="B93" s="15">
        <f t="shared" si="87"/>
        <v>40940</v>
      </c>
      <c r="C93" s="244">
        <f t="shared" si="93"/>
        <v>40973</v>
      </c>
      <c r="D93" s="244">
        <f t="shared" si="93"/>
        <v>40988</v>
      </c>
      <c r="E93" s="71" t="s">
        <v>137</v>
      </c>
      <c r="F93" s="3">
        <v>9</v>
      </c>
      <c r="G93" s="73">
        <v>585</v>
      </c>
      <c r="H93" s="249">
        <f t="shared" si="94"/>
        <v>1.45</v>
      </c>
      <c r="I93" s="249">
        <f t="shared" si="95"/>
        <v>1.93</v>
      </c>
      <c r="J93" s="56">
        <f t="shared" si="88"/>
        <v>1129.05</v>
      </c>
      <c r="K93" s="57">
        <f t="shared" si="70"/>
        <v>848.25</v>
      </c>
      <c r="L93" s="58">
        <f t="shared" si="85"/>
        <v>280.79999999999995</v>
      </c>
      <c r="M93" s="55">
        <f t="shared" si="77"/>
        <v>11.900339187184795</v>
      </c>
      <c r="N93" s="29">
        <f t="shared" si="86"/>
        <v>292.70033918718474</v>
      </c>
      <c r="O93" s="16">
        <f t="shared" si="96"/>
        <v>12</v>
      </c>
      <c r="P93" s="16">
        <f t="shared" si="97"/>
        <v>91</v>
      </c>
      <c r="Q93" s="16">
        <f t="shared" si="98"/>
        <v>92</v>
      </c>
      <c r="R93" s="16">
        <f t="shared" si="79"/>
        <v>92</v>
      </c>
      <c r="S93" s="16">
        <f t="shared" si="80"/>
        <v>90</v>
      </c>
      <c r="T93" s="16">
        <f t="shared" si="80"/>
        <v>91</v>
      </c>
      <c r="U93" s="16">
        <f t="shared" si="80"/>
        <v>0</v>
      </c>
      <c r="V93" s="110">
        <f aca="true" t="shared" si="100" ref="V93:V103">IF(W$8&lt;V$8,0,IF($D93&lt;V$8,V$12,IF($D93&lt;W$8,W$8-$D93,0)))</f>
        <v>0</v>
      </c>
      <c r="W93" s="154">
        <f aca="true" t="shared" si="101" ref="W93:W103">$L93*O$11*O93</f>
        <v>0.3000328767123287</v>
      </c>
      <c r="X93" s="63">
        <f>($L93+SUM($W93:W93))*(P$11*P93)</f>
        <v>2.2776804033777442</v>
      </c>
      <c r="Y93" s="63">
        <f>($L93+SUM($W93:X93))*(Q$11*Q93)</f>
        <v>2.3213681170067644</v>
      </c>
      <c r="Z93" s="63">
        <f>($L93+SUM($W93:Y93))*(R$11*R93)</f>
        <v>2.340384255828272</v>
      </c>
      <c r="AA93" s="63">
        <f>($L93+SUM($W93:Z93))*(S$11*S93)</f>
        <v>2.308261471328235</v>
      </c>
      <c r="AB93" s="63">
        <f>($L93+SUM($W93:AA93))*(T$11*T93)</f>
        <v>2.35261206293145</v>
      </c>
      <c r="AC93" s="63">
        <f>($L93+SUM($W93:AB93))*(U$11*U93)</f>
        <v>0</v>
      </c>
      <c r="AD93" s="63">
        <f>($L93+SUM($W93:AB93))*(V$11*V93)</f>
        <v>0</v>
      </c>
      <c r="AE93" s="114">
        <f t="shared" si="99"/>
        <v>11.900339187184795</v>
      </c>
    </row>
    <row r="94" spans="1:31" ht="12.75">
      <c r="A94" s="3">
        <v>3</v>
      </c>
      <c r="B94" s="15">
        <f t="shared" si="87"/>
        <v>40969</v>
      </c>
      <c r="C94" s="244">
        <f t="shared" si="93"/>
        <v>41003</v>
      </c>
      <c r="D94" s="244">
        <f t="shared" si="93"/>
        <v>41018</v>
      </c>
      <c r="E94" s="71" t="s">
        <v>137</v>
      </c>
      <c r="F94" s="3">
        <v>9</v>
      </c>
      <c r="G94" s="73">
        <v>423</v>
      </c>
      <c r="H94" s="249">
        <f t="shared" si="94"/>
        <v>1.45</v>
      </c>
      <c r="I94" s="249">
        <f t="shared" si="95"/>
        <v>1.93</v>
      </c>
      <c r="J94" s="56">
        <f t="shared" si="88"/>
        <v>816.39</v>
      </c>
      <c r="K94" s="57">
        <f t="shared" si="70"/>
        <v>613.35</v>
      </c>
      <c r="L94" s="58">
        <f>+J94-K94</f>
        <v>203.03999999999996</v>
      </c>
      <c r="M94" s="55">
        <f t="shared" si="77"/>
        <v>8.042834905543446</v>
      </c>
      <c r="N94" s="29">
        <f>SUM(L94:M94)</f>
        <v>211.08283490554342</v>
      </c>
      <c r="O94" s="16">
        <f t="shared" si="96"/>
        <v>0</v>
      </c>
      <c r="P94" s="16">
        <f t="shared" si="97"/>
        <v>73</v>
      </c>
      <c r="Q94" s="16">
        <f t="shared" si="98"/>
        <v>92</v>
      </c>
      <c r="R94" s="16">
        <f t="shared" si="79"/>
        <v>92</v>
      </c>
      <c r="S94" s="16">
        <f t="shared" si="80"/>
        <v>90</v>
      </c>
      <c r="T94" s="16">
        <f t="shared" si="80"/>
        <v>91</v>
      </c>
      <c r="U94" s="16">
        <f t="shared" si="80"/>
        <v>0</v>
      </c>
      <c r="V94" s="110">
        <f t="shared" si="100"/>
        <v>0</v>
      </c>
      <c r="W94" s="154">
        <f t="shared" si="101"/>
        <v>0</v>
      </c>
      <c r="X94" s="63">
        <f>($L94+SUM($W94:W94))*(P$11*P94)</f>
        <v>1.3197599999999996</v>
      </c>
      <c r="Y94" s="63">
        <f>($L94+SUM($W94:X94))*(Q$11*Q94)</f>
        <v>1.6740703627397255</v>
      </c>
      <c r="Z94" s="63">
        <f>($L94+SUM($W94:Y94))*(R$11*R94)</f>
        <v>1.6877839802317578</v>
      </c>
      <c r="AA94" s="63">
        <f>($L94+SUM($W94:Z94))*(S$11*S94)</f>
        <v>1.6646184163101134</v>
      </c>
      <c r="AB94" s="63">
        <f>($L94+SUM($W94:AA94))*(T$11*T94)</f>
        <v>1.69660214626185</v>
      </c>
      <c r="AC94" s="63">
        <f>($L94+SUM($W94:AB94))*(U$11*U94)</f>
        <v>0</v>
      </c>
      <c r="AD94" s="63">
        <f>($L94+SUM($W94:AB94))*(V$11*V94)</f>
        <v>0</v>
      </c>
      <c r="AE94" s="114">
        <f t="shared" si="99"/>
        <v>8.042834905543446</v>
      </c>
    </row>
    <row r="95" spans="1:31" ht="12.75">
      <c r="A95" s="16">
        <v>4</v>
      </c>
      <c r="B95" s="15">
        <f t="shared" si="87"/>
        <v>41000</v>
      </c>
      <c r="C95" s="244">
        <f t="shared" si="93"/>
        <v>41032</v>
      </c>
      <c r="D95" s="244">
        <f t="shared" si="93"/>
        <v>41047</v>
      </c>
      <c r="E95" s="30" t="s">
        <v>137</v>
      </c>
      <c r="F95" s="3">
        <v>9</v>
      </c>
      <c r="G95" s="73">
        <v>413</v>
      </c>
      <c r="H95" s="249">
        <f t="shared" si="94"/>
        <v>1.45</v>
      </c>
      <c r="I95" s="249">
        <f t="shared" si="95"/>
        <v>1.93</v>
      </c>
      <c r="J95" s="56">
        <f t="shared" si="88"/>
        <v>797.0899999999999</v>
      </c>
      <c r="K95" s="57">
        <f t="shared" si="70"/>
        <v>598.85</v>
      </c>
      <c r="L95" s="58">
        <f aca="true" t="shared" si="102" ref="L95:L105">+J95-K95</f>
        <v>198.2399999999999</v>
      </c>
      <c r="M95" s="55">
        <f t="shared" si="77"/>
        <v>7.323962867952508</v>
      </c>
      <c r="N95" s="29">
        <f aca="true" t="shared" si="103" ref="N95:N105">SUM(L95:M95)</f>
        <v>205.5639628679524</v>
      </c>
      <c r="O95" s="16">
        <f t="shared" si="96"/>
        <v>0</v>
      </c>
      <c r="P95" s="16">
        <f t="shared" si="97"/>
        <v>44</v>
      </c>
      <c r="Q95" s="16">
        <f t="shared" si="98"/>
        <v>92</v>
      </c>
      <c r="R95" s="16">
        <f t="shared" si="79"/>
        <v>92</v>
      </c>
      <c r="S95" s="16">
        <f t="shared" si="80"/>
        <v>90</v>
      </c>
      <c r="T95" s="16">
        <f t="shared" si="80"/>
        <v>91</v>
      </c>
      <c r="U95" s="16">
        <f t="shared" si="80"/>
        <v>0</v>
      </c>
      <c r="V95" s="110">
        <f t="shared" si="100"/>
        <v>0</v>
      </c>
      <c r="W95" s="154">
        <f t="shared" si="101"/>
        <v>0</v>
      </c>
      <c r="X95" s="63">
        <f>($L95+SUM($W95:W95))*(P$11*P95)</f>
        <v>0.7766663013698626</v>
      </c>
      <c r="Y95" s="63">
        <f>($L95+SUM($W95:X95))*(Q$11*Q95)</f>
        <v>1.6303009102495767</v>
      </c>
      <c r="Z95" s="63">
        <f>($L95+SUM($W95:Y95))*(R$11*R95)</f>
        <v>1.6436559779801143</v>
      </c>
      <c r="AA95" s="63">
        <f>($L95+SUM($W95:Z95))*(S$11*S95)</f>
        <v>1.6210960899440503</v>
      </c>
      <c r="AB95" s="63">
        <f>($L95+SUM($W95:AA95))*(T$11*T95)</f>
        <v>1.6522435884089037</v>
      </c>
      <c r="AC95" s="63">
        <f>($L95+SUM($W95:AB95))*(U$11*U95)</f>
        <v>0</v>
      </c>
      <c r="AD95" s="63">
        <f>($L95+SUM($W95:AB95))*(V$11*V95)</f>
        <v>0</v>
      </c>
      <c r="AE95" s="114">
        <f t="shared" si="99"/>
        <v>7.323962867952508</v>
      </c>
    </row>
    <row r="96" spans="1:31" ht="12.75">
      <c r="A96" s="3">
        <v>5</v>
      </c>
      <c r="B96" s="15">
        <f t="shared" si="87"/>
        <v>41030</v>
      </c>
      <c r="C96" s="244">
        <f t="shared" si="93"/>
        <v>41065</v>
      </c>
      <c r="D96" s="244">
        <f t="shared" si="93"/>
        <v>41080</v>
      </c>
      <c r="E96" s="30" t="s">
        <v>137</v>
      </c>
      <c r="F96" s="3">
        <v>9</v>
      </c>
      <c r="G96" s="73">
        <v>590</v>
      </c>
      <c r="H96" s="249">
        <f t="shared" si="94"/>
        <v>1.45</v>
      </c>
      <c r="I96" s="249">
        <f t="shared" si="95"/>
        <v>1.93</v>
      </c>
      <c r="J96" s="56">
        <f t="shared" si="88"/>
        <v>1138.7</v>
      </c>
      <c r="K96" s="57">
        <f t="shared" si="70"/>
        <v>855.5</v>
      </c>
      <c r="L96" s="58">
        <f t="shared" si="102"/>
        <v>283.20000000000005</v>
      </c>
      <c r="M96" s="55">
        <f t="shared" si="77"/>
        <v>9.603285614979903</v>
      </c>
      <c r="N96" s="29">
        <f t="shared" si="103"/>
        <v>292.8032856149799</v>
      </c>
      <c r="O96" s="16">
        <f t="shared" si="96"/>
        <v>0</v>
      </c>
      <c r="P96" s="16">
        <f t="shared" si="97"/>
        <v>11</v>
      </c>
      <c r="Q96" s="16">
        <f t="shared" si="98"/>
        <v>92</v>
      </c>
      <c r="R96" s="16">
        <f t="shared" si="79"/>
        <v>92</v>
      </c>
      <c r="S96" s="16">
        <f t="shared" si="80"/>
        <v>90</v>
      </c>
      <c r="T96" s="16">
        <f t="shared" si="80"/>
        <v>91</v>
      </c>
      <c r="U96" s="16">
        <f t="shared" si="80"/>
        <v>0</v>
      </c>
      <c r="V96" s="110">
        <f t="shared" si="100"/>
        <v>0</v>
      </c>
      <c r="W96" s="154">
        <f t="shared" si="101"/>
        <v>0</v>
      </c>
      <c r="X96" s="63">
        <f>($L96+SUM($W96:W96))*(P$11*P96)</f>
        <v>0.2773808219178083</v>
      </c>
      <c r="Y96" s="63">
        <f>($L96+SUM($W96:X96))*(Q$11*Q96)</f>
        <v>2.3221845716644776</v>
      </c>
      <c r="Z96" s="63">
        <f>($L96+SUM($W96:Y96))*(R$11*R96)</f>
        <v>2.3412073987035917</v>
      </c>
      <c r="AA96" s="63">
        <f>($L96+SUM($W96:Z96))*(S$11*S96)</f>
        <v>2.3090733162121544</v>
      </c>
      <c r="AB96" s="63">
        <f>($L96+SUM($W96:AA96))*(T$11*T96)</f>
        <v>2.3534395064818714</v>
      </c>
      <c r="AC96" s="63">
        <f>($L96+SUM($W96:AB96))*(U$11*U96)</f>
        <v>0</v>
      </c>
      <c r="AD96" s="63">
        <f>($L96+SUM($W96:AB96))*(V$11*V96)</f>
        <v>0</v>
      </c>
      <c r="AE96" s="114">
        <f t="shared" si="99"/>
        <v>9.603285614979903</v>
      </c>
    </row>
    <row r="97" spans="1:31" ht="12.75">
      <c r="A97" s="3">
        <v>6</v>
      </c>
      <c r="B97" s="15">
        <f t="shared" si="87"/>
        <v>41061</v>
      </c>
      <c r="C97" s="244">
        <f t="shared" si="93"/>
        <v>41095</v>
      </c>
      <c r="D97" s="244">
        <f t="shared" si="93"/>
        <v>41110</v>
      </c>
      <c r="E97" s="30" t="s">
        <v>137</v>
      </c>
      <c r="F97" s="3">
        <v>9</v>
      </c>
      <c r="G97" s="73">
        <v>696</v>
      </c>
      <c r="H97" s="249">
        <f t="shared" si="94"/>
        <v>1.45</v>
      </c>
      <c r="I97" s="249">
        <f t="shared" si="95"/>
        <v>1.93</v>
      </c>
      <c r="J97" s="56">
        <f t="shared" si="88"/>
        <v>1343.28</v>
      </c>
      <c r="K97" s="57">
        <f t="shared" si="70"/>
        <v>1009.1999999999999</v>
      </c>
      <c r="L97" s="79">
        <f t="shared" si="102"/>
        <v>334.08000000000004</v>
      </c>
      <c r="M97" s="80">
        <f t="shared" si="77"/>
        <v>10.411601005219639</v>
      </c>
      <c r="N97" s="78">
        <f t="shared" si="103"/>
        <v>344.4916010052197</v>
      </c>
      <c r="O97" s="16">
        <f aca="true" t="shared" si="104" ref="O97:U97">IF($D97&lt;O$8,O$12,IF($D97&lt;P$8,P$8-$D97,0))</f>
        <v>0</v>
      </c>
      <c r="P97" s="16">
        <f t="shared" si="104"/>
        <v>0</v>
      </c>
      <c r="Q97" s="16">
        <f t="shared" si="104"/>
        <v>73</v>
      </c>
      <c r="R97" s="16">
        <f t="shared" si="104"/>
        <v>92</v>
      </c>
      <c r="S97" s="16">
        <f t="shared" si="104"/>
        <v>90</v>
      </c>
      <c r="T97" s="16">
        <f t="shared" si="104"/>
        <v>91</v>
      </c>
      <c r="U97" s="16">
        <f t="shared" si="104"/>
        <v>0</v>
      </c>
      <c r="V97" s="110">
        <f>IF(W$8&lt;V$8,0,IF($D97&lt;V$8,V$12,IF($D97&lt;W$8,W$8-$D97,0)))</f>
        <v>0</v>
      </c>
      <c r="W97" s="154">
        <f>$L97*O$11*O97</f>
        <v>0</v>
      </c>
      <c r="X97" s="63">
        <f>($L97+SUM($W97:W97))*(P$11*P97)</f>
        <v>0</v>
      </c>
      <c r="Y97" s="63">
        <f>($L97+SUM($W97:X97))*(Q$11*Q97)</f>
        <v>2.17152</v>
      </c>
      <c r="Z97" s="63">
        <f>($L97+SUM($W97:Y97))*(R$11*R97)</f>
        <v>2.7544987528767124</v>
      </c>
      <c r="AA97" s="63">
        <f>($L97+SUM($W97:Z97))*(S$11*S97)</f>
        <v>2.7166920680881215</v>
      </c>
      <c r="AB97" s="63">
        <f>($L97+SUM($W97:AA97))*(T$11*T97)</f>
        <v>2.7688901842548046</v>
      </c>
      <c r="AC97" s="63">
        <f>($L97+SUM($W97:AB97))*(U$11*U97)</f>
        <v>0</v>
      </c>
      <c r="AD97" s="63">
        <f>($L97+SUM($W97:AB97))*(V$11*V97)</f>
        <v>0</v>
      </c>
      <c r="AE97" s="114">
        <f t="shared" si="99"/>
        <v>10.411601005219639</v>
      </c>
    </row>
    <row r="98" spans="1:31" ht="12.75">
      <c r="A98" s="16">
        <v>7</v>
      </c>
      <c r="B98" s="15">
        <f t="shared" si="87"/>
        <v>41091</v>
      </c>
      <c r="C98" s="244">
        <f t="shared" si="93"/>
        <v>41124</v>
      </c>
      <c r="D98" s="244">
        <f t="shared" si="93"/>
        <v>41141</v>
      </c>
      <c r="E98" s="30" t="s">
        <v>137</v>
      </c>
      <c r="F98" s="3">
        <v>9</v>
      </c>
      <c r="G98" s="73">
        <v>701</v>
      </c>
      <c r="H98" s="249">
        <f aca="true" t="shared" si="105" ref="H98:H103">$K$8</f>
        <v>1.14</v>
      </c>
      <c r="I98" s="249">
        <f aca="true" t="shared" si="106" ref="I98:I103">J$8</f>
        <v>1.93</v>
      </c>
      <c r="J98" s="56">
        <f t="shared" si="88"/>
        <v>1352.93</v>
      </c>
      <c r="K98" s="57">
        <f t="shared" si="70"/>
        <v>799.14</v>
      </c>
      <c r="L98" s="79">
        <f t="shared" si="102"/>
        <v>553.7900000000001</v>
      </c>
      <c r="M98" s="77">
        <f t="shared" si="77"/>
        <v>15.692789868719847</v>
      </c>
      <c r="N98" s="78">
        <f t="shared" si="103"/>
        <v>569.4827898687199</v>
      </c>
      <c r="O98" s="16">
        <f t="shared" si="96"/>
        <v>0</v>
      </c>
      <c r="P98" s="16">
        <f t="shared" si="97"/>
        <v>0</v>
      </c>
      <c r="Q98" s="16">
        <f t="shared" si="98"/>
        <v>42</v>
      </c>
      <c r="R98" s="16">
        <f t="shared" si="79"/>
        <v>92</v>
      </c>
      <c r="S98" s="16">
        <f t="shared" si="80"/>
        <v>90</v>
      </c>
      <c r="T98" s="16">
        <f t="shared" si="80"/>
        <v>91</v>
      </c>
      <c r="U98" s="16">
        <f t="shared" si="80"/>
        <v>0</v>
      </c>
      <c r="V98" s="110">
        <f t="shared" si="100"/>
        <v>0</v>
      </c>
      <c r="W98" s="154">
        <f t="shared" si="101"/>
        <v>0</v>
      </c>
      <c r="X98" s="63">
        <f>($L98+SUM($W98:W98))*(P$11*P98)</f>
        <v>0</v>
      </c>
      <c r="Y98" s="63">
        <f>($L98+SUM($W98:X98))*(Q$11*Q98)</f>
        <v>2.071022876712329</v>
      </c>
      <c r="Z98" s="63">
        <f>($L98+SUM($W98:Y98))*(R$11*R98)</f>
        <v>4.553491666853068</v>
      </c>
      <c r="AA98" s="63">
        <f>($L98+SUM($W98:Z98))*(S$11*S98)</f>
        <v>4.490993027506654</v>
      </c>
      <c r="AB98" s="63">
        <f>($L98+SUM($W98:AA98))*(T$11*T98)</f>
        <v>4.5772822976477965</v>
      </c>
      <c r="AC98" s="63">
        <f>($L98+SUM($W98:AB98))*(U$11*U98)</f>
        <v>0</v>
      </c>
      <c r="AD98" s="63">
        <f>($L98+SUM($W98:AB98))*(V$11*V98)</f>
        <v>0</v>
      </c>
      <c r="AE98" s="114">
        <f aca="true" t="shared" si="107" ref="AE98:AE103">SUM(W98:AD98)</f>
        <v>15.692789868719847</v>
      </c>
    </row>
    <row r="99" spans="1:31" ht="12.75">
      <c r="A99" s="3">
        <v>8</v>
      </c>
      <c r="B99" s="15">
        <f t="shared" si="87"/>
        <v>41122</v>
      </c>
      <c r="C99" s="244">
        <f t="shared" si="93"/>
        <v>41158</v>
      </c>
      <c r="D99" s="244">
        <f t="shared" si="93"/>
        <v>41173</v>
      </c>
      <c r="E99" s="30" t="s">
        <v>137</v>
      </c>
      <c r="F99" s="3">
        <v>9</v>
      </c>
      <c r="G99" s="73">
        <v>684</v>
      </c>
      <c r="H99" s="249">
        <f t="shared" si="105"/>
        <v>1.14</v>
      </c>
      <c r="I99" s="249">
        <f t="shared" si="106"/>
        <v>1.93</v>
      </c>
      <c r="J99" s="56">
        <f t="shared" si="88"/>
        <v>1320.12</v>
      </c>
      <c r="K99" s="57">
        <f t="shared" si="70"/>
        <v>779.7599999999999</v>
      </c>
      <c r="L99" s="79">
        <f t="shared" si="102"/>
        <v>540.36</v>
      </c>
      <c r="M99" s="77">
        <f t="shared" si="77"/>
        <v>13.73483667916053</v>
      </c>
      <c r="N99" s="78">
        <f t="shared" si="103"/>
        <v>554.0948366791605</v>
      </c>
      <c r="O99" s="16">
        <f t="shared" si="96"/>
        <v>0</v>
      </c>
      <c r="P99" s="16">
        <f t="shared" si="97"/>
        <v>0</v>
      </c>
      <c r="Q99" s="16">
        <f t="shared" si="98"/>
        <v>10</v>
      </c>
      <c r="R99" s="16">
        <f t="shared" si="79"/>
        <v>92</v>
      </c>
      <c r="S99" s="16">
        <f t="shared" si="80"/>
        <v>90</v>
      </c>
      <c r="T99" s="16">
        <f t="shared" si="80"/>
        <v>91</v>
      </c>
      <c r="U99" s="16">
        <f t="shared" si="80"/>
        <v>0</v>
      </c>
      <c r="V99" s="110">
        <f t="shared" si="100"/>
        <v>0</v>
      </c>
      <c r="W99" s="154">
        <f t="shared" si="101"/>
        <v>0</v>
      </c>
      <c r="X99" s="63">
        <f>($L99+SUM($W99:W99))*(P$11*P99)</f>
        <v>0</v>
      </c>
      <c r="Y99" s="63">
        <f>($L99+SUM($W99:X99))*(Q$11*Q99)</f>
        <v>0.4811424657534247</v>
      </c>
      <c r="Z99" s="63">
        <f>($L99+SUM($W99:Y99))*(R$11*R99)</f>
        <v>4.430452098555076</v>
      </c>
      <c r="AA99" s="63">
        <f>($L99+SUM($W99:Z99))*(S$11*S99)</f>
        <v>4.369642230412609</v>
      </c>
      <c r="AB99" s="63">
        <f>($L99+SUM($W99:AA99))*(T$11*T99)</f>
        <v>4.453599884439419</v>
      </c>
      <c r="AC99" s="63">
        <f>($L99+SUM($W99:AB99))*(U$11*U99)</f>
        <v>0</v>
      </c>
      <c r="AD99" s="63">
        <f>($L99+SUM($W99:AB99))*(V$11*V99)</f>
        <v>0</v>
      </c>
      <c r="AE99" s="114">
        <f t="shared" si="107"/>
        <v>13.73483667916053</v>
      </c>
    </row>
    <row r="100" spans="1:31" ht="12.75">
      <c r="A100" s="3">
        <v>9</v>
      </c>
      <c r="B100" s="15">
        <f t="shared" si="87"/>
        <v>41153</v>
      </c>
      <c r="C100" s="244">
        <f t="shared" si="93"/>
        <v>41185</v>
      </c>
      <c r="D100" s="244">
        <f t="shared" si="93"/>
        <v>41200</v>
      </c>
      <c r="E100" s="30" t="s">
        <v>137</v>
      </c>
      <c r="F100" s="3">
        <v>9</v>
      </c>
      <c r="G100" s="73">
        <v>662</v>
      </c>
      <c r="H100" s="249">
        <f t="shared" si="105"/>
        <v>1.14</v>
      </c>
      <c r="I100" s="249">
        <f t="shared" si="106"/>
        <v>1.93</v>
      </c>
      <c r="J100" s="56">
        <f t="shared" si="88"/>
        <v>1277.6599999999999</v>
      </c>
      <c r="K100" s="57">
        <f t="shared" si="70"/>
        <v>754.68</v>
      </c>
      <c r="L100" s="79">
        <f t="shared" si="102"/>
        <v>522.9799999999999</v>
      </c>
      <c r="M100" s="77">
        <f t="shared" si="77"/>
        <v>12.011550466232645</v>
      </c>
      <c r="N100" s="78">
        <f t="shared" si="103"/>
        <v>534.9915504662325</v>
      </c>
      <c r="O100" s="16">
        <f t="shared" si="96"/>
        <v>0</v>
      </c>
      <c r="P100" s="16">
        <f t="shared" si="97"/>
        <v>0</v>
      </c>
      <c r="Q100" s="16">
        <f t="shared" si="98"/>
        <v>0</v>
      </c>
      <c r="R100" s="16">
        <f t="shared" si="79"/>
        <v>75</v>
      </c>
      <c r="S100" s="16">
        <f t="shared" si="80"/>
        <v>90</v>
      </c>
      <c r="T100" s="16">
        <f t="shared" si="80"/>
        <v>91</v>
      </c>
      <c r="U100" s="16">
        <f t="shared" si="80"/>
        <v>0</v>
      </c>
      <c r="V100" s="110">
        <f t="shared" si="100"/>
        <v>0</v>
      </c>
      <c r="W100" s="154">
        <f t="shared" si="101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3.4925034246575337</v>
      </c>
      <c r="AA100" s="63">
        <f>($L100+SUM($W100:Z100))*(S$11*S100)</f>
        <v>4.218991979498967</v>
      </c>
      <c r="AB100" s="63">
        <f>($L100+SUM($W100:AA100))*(T$11*T100)</f>
        <v>4.300055062076144</v>
      </c>
      <c r="AC100" s="63">
        <f>($L100+SUM($W100:AB100))*(U$11*U100)</f>
        <v>0</v>
      </c>
      <c r="AD100" s="63">
        <f>($L100+SUM($W100:AB100))*(V$11*V100)</f>
        <v>0</v>
      </c>
      <c r="AE100" s="114">
        <f t="shared" si="107"/>
        <v>12.011550466232645</v>
      </c>
    </row>
    <row r="101" spans="1:31" ht="12.75">
      <c r="A101" s="16">
        <v>10</v>
      </c>
      <c r="B101" s="15">
        <f t="shared" si="87"/>
        <v>41183</v>
      </c>
      <c r="C101" s="244">
        <f t="shared" si="93"/>
        <v>41218</v>
      </c>
      <c r="D101" s="244">
        <f t="shared" si="93"/>
        <v>41233</v>
      </c>
      <c r="E101" s="30" t="s">
        <v>137</v>
      </c>
      <c r="F101" s="3">
        <v>9</v>
      </c>
      <c r="G101" s="73">
        <v>387</v>
      </c>
      <c r="H101" s="249">
        <f t="shared" si="105"/>
        <v>1.14</v>
      </c>
      <c r="I101" s="249">
        <f t="shared" si="106"/>
        <v>1.93</v>
      </c>
      <c r="J101" s="56">
        <f t="shared" si="88"/>
        <v>746.91</v>
      </c>
      <c r="K101" s="57">
        <f t="shared" si="70"/>
        <v>441.17999999999995</v>
      </c>
      <c r="L101" s="79">
        <f t="shared" si="102"/>
        <v>305.73</v>
      </c>
      <c r="M101" s="77">
        <f t="shared" si="77"/>
        <v>6.108977990067498</v>
      </c>
      <c r="N101" s="78">
        <f t="shared" si="103"/>
        <v>311.8389779900675</v>
      </c>
      <c r="O101" s="16">
        <f t="shared" si="96"/>
        <v>0</v>
      </c>
      <c r="P101" s="16">
        <f t="shared" si="97"/>
        <v>0</v>
      </c>
      <c r="Q101" s="16">
        <f t="shared" si="98"/>
        <v>0</v>
      </c>
      <c r="R101" s="16">
        <f t="shared" si="79"/>
        <v>42</v>
      </c>
      <c r="S101" s="16">
        <f t="shared" si="80"/>
        <v>90</v>
      </c>
      <c r="T101" s="16">
        <f t="shared" si="80"/>
        <v>91</v>
      </c>
      <c r="U101" s="16">
        <f t="shared" si="80"/>
        <v>0</v>
      </c>
      <c r="V101" s="110">
        <f t="shared" si="100"/>
        <v>0</v>
      </c>
      <c r="W101" s="154">
        <f t="shared" si="101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1.1433464383561645</v>
      </c>
      <c r="AA101" s="63">
        <f>($L101+SUM($W101:Z101))*(S$11*S101)</f>
        <v>2.4591905159786074</v>
      </c>
      <c r="AB101" s="63">
        <f>($L101+SUM($W101:AA101))*(T$11*T101)</f>
        <v>2.5064410357327263</v>
      </c>
      <c r="AC101" s="63">
        <f>($L101+SUM($W101:AB101))*(U$11*U101)</f>
        <v>0</v>
      </c>
      <c r="AD101" s="63">
        <f>($L101+SUM($W101:AB101))*(V$11*V101)</f>
        <v>0</v>
      </c>
      <c r="AE101" s="114">
        <f t="shared" si="107"/>
        <v>6.108977990067498</v>
      </c>
    </row>
    <row r="102" spans="1:31" ht="12.75">
      <c r="A102" s="3">
        <v>11</v>
      </c>
      <c r="B102" s="15">
        <f t="shared" si="87"/>
        <v>41214</v>
      </c>
      <c r="C102" s="244">
        <f t="shared" si="93"/>
        <v>41248</v>
      </c>
      <c r="D102" s="244">
        <f t="shared" si="93"/>
        <v>41263</v>
      </c>
      <c r="E102" s="30" t="s">
        <v>137</v>
      </c>
      <c r="F102" s="3">
        <v>9</v>
      </c>
      <c r="G102" s="73">
        <v>553</v>
      </c>
      <c r="H102" s="249">
        <f t="shared" si="105"/>
        <v>1.14</v>
      </c>
      <c r="I102" s="249">
        <f t="shared" si="106"/>
        <v>1.93</v>
      </c>
      <c r="J102" s="56">
        <f t="shared" si="88"/>
        <v>1067.29</v>
      </c>
      <c r="K102" s="57">
        <f t="shared" si="70"/>
        <v>630.42</v>
      </c>
      <c r="L102" s="79">
        <f t="shared" si="102"/>
        <v>436.87</v>
      </c>
      <c r="M102" s="77">
        <f t="shared" si="77"/>
        <v>7.543501614053733</v>
      </c>
      <c r="N102" s="78">
        <f t="shared" si="103"/>
        <v>444.41350161405376</v>
      </c>
      <c r="O102" s="16">
        <f t="shared" si="96"/>
        <v>0</v>
      </c>
      <c r="P102" s="16">
        <f t="shared" si="97"/>
        <v>0</v>
      </c>
      <c r="Q102" s="16">
        <f t="shared" si="98"/>
        <v>0</v>
      </c>
      <c r="R102" s="16">
        <f aca="true" t="shared" si="108" ref="R102:R137">IF($D102&lt;R$8,R$12,IF($D102&lt;S$8,S$8-$D102,0))</f>
        <v>12</v>
      </c>
      <c r="S102" s="16">
        <f aca="true" t="shared" si="109" ref="S102:U137">IF($D102&lt;S$8,S$12,IF($D102&lt;T$8,T$8-$D102,0))</f>
        <v>90</v>
      </c>
      <c r="T102" s="16">
        <f t="shared" si="109"/>
        <v>91</v>
      </c>
      <c r="U102" s="16">
        <f t="shared" si="109"/>
        <v>0</v>
      </c>
      <c r="V102" s="110">
        <f t="shared" si="100"/>
        <v>0</v>
      </c>
      <c r="W102" s="154">
        <f t="shared" si="101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0.46679260273972606</v>
      </c>
      <c r="AA102" s="63">
        <f>($L102+SUM($W102:Z102))*(S$11*S102)</f>
        <v>3.504685255789078</v>
      </c>
      <c r="AB102" s="63">
        <f>($L102+SUM($W102:AA102))*(T$11*T102)</f>
        <v>3.572023755524929</v>
      </c>
      <c r="AC102" s="63">
        <f>($L102+SUM($W102:AB102))*(U$11*U102)</f>
        <v>0</v>
      </c>
      <c r="AD102" s="63">
        <f>($L102+SUM($W102:AB102))*(V$11*V102)</f>
        <v>0</v>
      </c>
      <c r="AE102" s="114">
        <f t="shared" si="107"/>
        <v>7.543501614053733</v>
      </c>
    </row>
    <row r="103" spans="1:31" s="70" customFormat="1" ht="12.75">
      <c r="A103" s="3">
        <v>12</v>
      </c>
      <c r="B103" s="86">
        <f t="shared" si="87"/>
        <v>41244</v>
      </c>
      <c r="C103" s="244">
        <f t="shared" si="93"/>
        <v>41278</v>
      </c>
      <c r="D103" s="244">
        <f t="shared" si="93"/>
        <v>41295</v>
      </c>
      <c r="E103" s="87" t="s">
        <v>137</v>
      </c>
      <c r="F103" s="83">
        <v>9</v>
      </c>
      <c r="G103" s="88">
        <v>701</v>
      </c>
      <c r="H103" s="250">
        <f t="shared" si="105"/>
        <v>1.14</v>
      </c>
      <c r="I103" s="250">
        <f t="shared" si="106"/>
        <v>1.93</v>
      </c>
      <c r="J103" s="89">
        <f t="shared" si="88"/>
        <v>1352.93</v>
      </c>
      <c r="K103" s="308">
        <f t="shared" si="70"/>
        <v>799.14</v>
      </c>
      <c r="L103" s="91">
        <f t="shared" si="102"/>
        <v>553.7900000000001</v>
      </c>
      <c r="M103" s="92">
        <f t="shared" si="77"/>
        <v>7.966889292958342</v>
      </c>
      <c r="N103" s="93">
        <f t="shared" si="103"/>
        <v>561.7568892929585</v>
      </c>
      <c r="O103" s="83">
        <f t="shared" si="96"/>
        <v>0</v>
      </c>
      <c r="P103" s="83">
        <f t="shared" si="97"/>
        <v>0</v>
      </c>
      <c r="Q103" s="83">
        <f t="shared" si="98"/>
        <v>0</v>
      </c>
      <c r="R103" s="83">
        <f t="shared" si="108"/>
        <v>0</v>
      </c>
      <c r="S103" s="83">
        <f t="shared" si="109"/>
        <v>70</v>
      </c>
      <c r="T103" s="83">
        <f t="shared" si="109"/>
        <v>91</v>
      </c>
      <c r="U103" s="83">
        <f t="shared" si="109"/>
        <v>0</v>
      </c>
      <c r="V103" s="111">
        <f t="shared" si="100"/>
        <v>0</v>
      </c>
      <c r="W103" s="155">
        <f t="shared" si="101"/>
        <v>0</v>
      </c>
      <c r="X103" s="94">
        <f>($L103+SUM($W103:W103))*(P$11*P103)</f>
        <v>0</v>
      </c>
      <c r="Y103" s="94">
        <f>($L103+SUM($W103:X103))*(Q$11*Q103)</f>
        <v>0</v>
      </c>
      <c r="Z103" s="94">
        <f>($L103+SUM($W103:Y103))*(R$11*R103)</f>
        <v>0</v>
      </c>
      <c r="AA103" s="94">
        <f>($L103+SUM($W103:Z103))*(S$11*S103)</f>
        <v>3.4517047945205483</v>
      </c>
      <c r="AB103" s="94">
        <f>($L103+SUM($W103:AA103))*(T$11*T103)</f>
        <v>4.515184498437794</v>
      </c>
      <c r="AC103" s="94">
        <f>($L103+SUM($W103:AB103))*(U$11*U103)</f>
        <v>0</v>
      </c>
      <c r="AD103" s="94">
        <f>($L103+SUM($W103:AB103))*(V$11*V103)</f>
        <v>0</v>
      </c>
      <c r="AE103" s="115">
        <f t="shared" si="107"/>
        <v>7.966889292958342</v>
      </c>
    </row>
    <row r="104" spans="1:31" ht="12.75">
      <c r="A104" s="16">
        <v>1</v>
      </c>
      <c r="B104" s="15">
        <f t="shared" si="87"/>
        <v>40909</v>
      </c>
      <c r="C104" s="243">
        <f t="shared" si="93"/>
        <v>40942</v>
      </c>
      <c r="D104" s="243">
        <f t="shared" si="93"/>
        <v>40959</v>
      </c>
      <c r="E104" s="122" t="s">
        <v>135</v>
      </c>
      <c r="F104" s="16">
        <v>9</v>
      </c>
      <c r="G104" s="73">
        <v>89</v>
      </c>
      <c r="H104" s="249">
        <f aca="true" t="shared" si="110" ref="H104:H109">$K$3</f>
        <v>1.45</v>
      </c>
      <c r="I104" s="249">
        <f t="shared" si="95"/>
        <v>1.93</v>
      </c>
      <c r="J104" s="56">
        <f t="shared" si="88"/>
        <v>171.76999999999998</v>
      </c>
      <c r="K104" s="57">
        <f t="shared" si="70"/>
        <v>129.04999999999998</v>
      </c>
      <c r="L104" s="58">
        <f t="shared" si="102"/>
        <v>42.72</v>
      </c>
      <c r="M104" s="55">
        <f t="shared" si="77"/>
        <v>1.9253424591438968</v>
      </c>
      <c r="N104" s="29">
        <f t="shared" si="103"/>
        <v>44.6453424591439</v>
      </c>
      <c r="O104" s="16">
        <f t="shared" si="96"/>
        <v>41</v>
      </c>
      <c r="P104" s="16">
        <f t="shared" si="97"/>
        <v>91</v>
      </c>
      <c r="Q104" s="16">
        <f t="shared" si="98"/>
        <v>92</v>
      </c>
      <c r="R104" s="16">
        <f t="shared" si="108"/>
        <v>92</v>
      </c>
      <c r="S104" s="16">
        <f t="shared" si="109"/>
        <v>90</v>
      </c>
      <c r="T104" s="16">
        <f t="shared" si="109"/>
        <v>91</v>
      </c>
      <c r="U104" s="16">
        <f t="shared" si="109"/>
        <v>0</v>
      </c>
      <c r="V104" s="110">
        <f>IF(W$8&lt;V$8,0,IF($D104&lt;V$8,V$12,IF($D104&lt;W$8,W$8-$D104,0)))</f>
        <v>0</v>
      </c>
      <c r="W104" s="154">
        <f>$L104*O$11*O104</f>
        <v>0.15595726027397258</v>
      </c>
      <c r="X104" s="63">
        <f>($L104+SUM($W104:W104))*(P$11*P104)</f>
        <v>0.3474127221842747</v>
      </c>
      <c r="Y104" s="63">
        <f>($L104+SUM($W104:X104))*(Q$11*Q104)</f>
        <v>0.35407637328095926</v>
      </c>
      <c r="Z104" s="63">
        <f>($L104+SUM($W104:Y104))*(R$11*R104)</f>
        <v>0.35697688932509647</v>
      </c>
      <c r="AA104" s="63">
        <f>($L104+SUM($W104:Z104))*(S$11*S104)</f>
        <v>0.3520772273748303</v>
      </c>
      <c r="AB104" s="63">
        <f>($L104+SUM($W104:AA104))*(T$11*T104)</f>
        <v>0.35884198670476364</v>
      </c>
      <c r="AC104" s="63">
        <f>($L104+SUM($W104:AB104))*(U$11*U104)</f>
        <v>0</v>
      </c>
      <c r="AD104" s="63">
        <f>($L104+SUM($W104:AB104))*(V$11*V104)</f>
        <v>0</v>
      </c>
      <c r="AE104" s="114">
        <f aca="true" t="shared" si="111" ref="AE104:AE109">SUM(W104:AD104)</f>
        <v>1.9253424591438968</v>
      </c>
    </row>
    <row r="105" spans="1:31" ht="12.75">
      <c r="A105" s="3">
        <v>2</v>
      </c>
      <c r="B105" s="15">
        <f t="shared" si="87"/>
        <v>40940</v>
      </c>
      <c r="C105" s="244">
        <f t="shared" si="93"/>
        <v>40973</v>
      </c>
      <c r="D105" s="244">
        <f t="shared" si="93"/>
        <v>40988</v>
      </c>
      <c r="E105" s="71" t="s">
        <v>135</v>
      </c>
      <c r="F105" s="3">
        <v>9</v>
      </c>
      <c r="G105" s="73">
        <v>70</v>
      </c>
      <c r="H105" s="249">
        <f t="shared" si="110"/>
        <v>1.45</v>
      </c>
      <c r="I105" s="249">
        <f t="shared" si="95"/>
        <v>1.93</v>
      </c>
      <c r="J105" s="56">
        <f t="shared" si="88"/>
        <v>135.1</v>
      </c>
      <c r="K105" s="57">
        <f t="shared" si="70"/>
        <v>101.5</v>
      </c>
      <c r="L105" s="58">
        <f t="shared" si="102"/>
        <v>33.599999999999994</v>
      </c>
      <c r="M105" s="55">
        <f t="shared" si="77"/>
        <v>1.4239722104323684</v>
      </c>
      <c r="N105" s="29">
        <f t="shared" si="103"/>
        <v>35.02397221043236</v>
      </c>
      <c r="O105" s="16">
        <f t="shared" si="96"/>
        <v>12</v>
      </c>
      <c r="P105" s="16">
        <f t="shared" si="97"/>
        <v>91</v>
      </c>
      <c r="Q105" s="16">
        <f t="shared" si="98"/>
        <v>92</v>
      </c>
      <c r="R105" s="16">
        <f t="shared" si="108"/>
        <v>92</v>
      </c>
      <c r="S105" s="16">
        <f t="shared" si="109"/>
        <v>90</v>
      </c>
      <c r="T105" s="16">
        <f t="shared" si="109"/>
        <v>91</v>
      </c>
      <c r="U105" s="16">
        <f t="shared" si="109"/>
        <v>0</v>
      </c>
      <c r="V105" s="110">
        <f aca="true" t="shared" si="112" ref="V105:V115">IF(W$8&lt;V$8,0,IF($D105&lt;V$8,V$12,IF($D105&lt;W$8,W$8-$D105,0)))</f>
        <v>0</v>
      </c>
      <c r="W105" s="154">
        <f aca="true" t="shared" si="113" ref="W105:W115">$L105*O$11*O105</f>
        <v>0.03590136986301369</v>
      </c>
      <c r="X105" s="63">
        <f>($L105+SUM($W105:W105))*(P$11*P105)</f>
        <v>0.2725429542503283</v>
      </c>
      <c r="Y105" s="63">
        <f>($L105+SUM($W105:X105))*(Q$11*Q105)</f>
        <v>0.27777054391533934</v>
      </c>
      <c r="Z105" s="63">
        <f>($L105+SUM($W105:Y105))*(R$11*R105)</f>
        <v>0.28004597932987874</v>
      </c>
      <c r="AA105" s="63">
        <f>($L105+SUM($W105:Z105))*(S$11*S105)</f>
        <v>0.27620222733842126</v>
      </c>
      <c r="AB105" s="63">
        <f>($L105+SUM($W105:AA105))*(T$11*T105)</f>
        <v>0.28150913573538716</v>
      </c>
      <c r="AC105" s="63">
        <f>($L105+SUM($W105:AB105))*(U$11*U105)</f>
        <v>0</v>
      </c>
      <c r="AD105" s="63">
        <f>($L105+SUM($W105:AB105))*(V$11*V105)</f>
        <v>0</v>
      </c>
      <c r="AE105" s="114">
        <f t="shared" si="111"/>
        <v>1.4239722104323684</v>
      </c>
    </row>
    <row r="106" spans="1:31" ht="12.75">
      <c r="A106" s="3">
        <v>3</v>
      </c>
      <c r="B106" s="15">
        <f t="shared" si="87"/>
        <v>40969</v>
      </c>
      <c r="C106" s="244">
        <f t="shared" si="93"/>
        <v>41003</v>
      </c>
      <c r="D106" s="244">
        <f t="shared" si="93"/>
        <v>41018</v>
      </c>
      <c r="E106" s="71" t="s">
        <v>135</v>
      </c>
      <c r="F106" s="3">
        <v>9</v>
      </c>
      <c r="G106" s="73">
        <v>54</v>
      </c>
      <c r="H106" s="249">
        <f t="shared" si="110"/>
        <v>1.45</v>
      </c>
      <c r="I106" s="249">
        <f t="shared" si="95"/>
        <v>1.93</v>
      </c>
      <c r="J106" s="56">
        <f t="shared" si="88"/>
        <v>104.22</v>
      </c>
      <c r="K106" s="57">
        <f t="shared" si="70"/>
        <v>78.3</v>
      </c>
      <c r="L106" s="58">
        <f>+J106-K106</f>
        <v>25.92</v>
      </c>
      <c r="M106" s="55">
        <f t="shared" si="77"/>
        <v>1.026744881558738</v>
      </c>
      <c r="N106" s="29">
        <f>SUM(L106:M106)</f>
        <v>26.94674488155874</v>
      </c>
      <c r="O106" s="16">
        <f t="shared" si="96"/>
        <v>0</v>
      </c>
      <c r="P106" s="16">
        <f t="shared" si="97"/>
        <v>73</v>
      </c>
      <c r="Q106" s="16">
        <f t="shared" si="98"/>
        <v>92</v>
      </c>
      <c r="R106" s="16">
        <f t="shared" si="108"/>
        <v>92</v>
      </c>
      <c r="S106" s="16">
        <f t="shared" si="109"/>
        <v>90</v>
      </c>
      <c r="T106" s="16">
        <f t="shared" si="109"/>
        <v>91</v>
      </c>
      <c r="U106" s="16">
        <f t="shared" si="109"/>
        <v>0</v>
      </c>
      <c r="V106" s="110">
        <f t="shared" si="112"/>
        <v>0</v>
      </c>
      <c r="W106" s="154">
        <f t="shared" si="113"/>
        <v>0</v>
      </c>
      <c r="X106" s="63">
        <f>($L106+SUM($W106:W106))*(P$11*P106)</f>
        <v>0.16848</v>
      </c>
      <c r="Y106" s="63">
        <f>($L106+SUM($W106:X106))*(Q$11*Q106)</f>
        <v>0.2137111101369863</v>
      </c>
      <c r="Z106" s="63">
        <f>($L106+SUM($W106:Y106))*(R$11*R106)</f>
        <v>0.21546178471043723</v>
      </c>
      <c r="AA106" s="63">
        <f>($L106+SUM($W106:Z106))*(S$11*S106)</f>
        <v>0.21250447867788688</v>
      </c>
      <c r="AB106" s="63">
        <f>($L106+SUM($W106:AA106))*(T$11*T106)</f>
        <v>0.21658750803342772</v>
      </c>
      <c r="AC106" s="63">
        <f>($L106+SUM($W106:AB106))*(U$11*U106)</f>
        <v>0</v>
      </c>
      <c r="AD106" s="63">
        <f>($L106+SUM($W106:AB106))*(V$11*V106)</f>
        <v>0</v>
      </c>
      <c r="AE106" s="114">
        <f t="shared" si="111"/>
        <v>1.026744881558738</v>
      </c>
    </row>
    <row r="107" spans="1:31" ht="12.75">
      <c r="A107" s="16">
        <v>4</v>
      </c>
      <c r="B107" s="15">
        <f t="shared" si="87"/>
        <v>41000</v>
      </c>
      <c r="C107" s="244">
        <f t="shared" si="93"/>
        <v>41032</v>
      </c>
      <c r="D107" s="244">
        <f t="shared" si="93"/>
        <v>41047</v>
      </c>
      <c r="E107" s="30" t="s">
        <v>135</v>
      </c>
      <c r="F107" s="3">
        <v>9</v>
      </c>
      <c r="G107" s="73">
        <v>45</v>
      </c>
      <c r="H107" s="249">
        <f t="shared" si="110"/>
        <v>1.45</v>
      </c>
      <c r="I107" s="249">
        <f t="shared" si="95"/>
        <v>1.93</v>
      </c>
      <c r="J107" s="56">
        <f t="shared" si="88"/>
        <v>86.85</v>
      </c>
      <c r="K107" s="57">
        <f t="shared" si="70"/>
        <v>65.25</v>
      </c>
      <c r="L107" s="58">
        <f aca="true" t="shared" si="114" ref="L107:L117">+J107-K107</f>
        <v>21.599999999999994</v>
      </c>
      <c r="M107" s="55">
        <f t="shared" si="77"/>
        <v>0.7980104819802977</v>
      </c>
      <c r="N107" s="29">
        <f aca="true" t="shared" si="115" ref="N107:N117">SUM(L107:M107)</f>
        <v>22.398010481980293</v>
      </c>
      <c r="O107" s="16">
        <f aca="true" t="shared" si="116" ref="O107:U107">IF($D107&lt;O$8,O$12,IF($D107&lt;P$8,P$8-$D107,0))</f>
        <v>0</v>
      </c>
      <c r="P107" s="16">
        <f t="shared" si="116"/>
        <v>44</v>
      </c>
      <c r="Q107" s="16">
        <f t="shared" si="116"/>
        <v>92</v>
      </c>
      <c r="R107" s="16">
        <f t="shared" si="116"/>
        <v>92</v>
      </c>
      <c r="S107" s="16">
        <f t="shared" si="116"/>
        <v>90</v>
      </c>
      <c r="T107" s="16">
        <f t="shared" si="116"/>
        <v>91</v>
      </c>
      <c r="U107" s="16">
        <f t="shared" si="116"/>
        <v>0</v>
      </c>
      <c r="V107" s="110">
        <f>IF(W$8&lt;V$8,0,IF($D107&lt;V$8,V$12,IF($D107&lt;W$8,W$8-$D107,0)))</f>
        <v>0</v>
      </c>
      <c r="W107" s="154">
        <f>$L107*O$11*O107</f>
        <v>0</v>
      </c>
      <c r="X107" s="63">
        <f>($L107+SUM($W107:W107))*(P$11*P107)</f>
        <v>0.08462465753424654</v>
      </c>
      <c r="Y107" s="63">
        <f>($L107+SUM($W107:X107))*(Q$11*Q107)</f>
        <v>0.17763569240007498</v>
      </c>
      <c r="Z107" s="63">
        <f>($L107+SUM($W107:Y107))*(R$11*R107)</f>
        <v>0.17909084505836603</v>
      </c>
      <c r="AA107" s="63">
        <f>($L107+SUM($W107:Z107))*(S$11*S107)</f>
        <v>0.17663274587768107</v>
      </c>
      <c r="AB107" s="63">
        <f>($L107+SUM($W107:AA107))*(T$11*T107)</f>
        <v>0.18002654110992902</v>
      </c>
      <c r="AC107" s="63">
        <f>($L107+SUM($W107:AB107))*(U$11*U107)</f>
        <v>0</v>
      </c>
      <c r="AD107" s="63">
        <f>($L107+SUM($W107:AB107))*(V$11*V107)</f>
        <v>0</v>
      </c>
      <c r="AE107" s="114">
        <f t="shared" si="111"/>
        <v>0.7980104819802977</v>
      </c>
    </row>
    <row r="108" spans="1:31" ht="12.75">
      <c r="A108" s="3">
        <v>5</v>
      </c>
      <c r="B108" s="15">
        <f t="shared" si="87"/>
        <v>41030</v>
      </c>
      <c r="C108" s="244">
        <f t="shared" si="93"/>
        <v>41065</v>
      </c>
      <c r="D108" s="244">
        <f t="shared" si="93"/>
        <v>41080</v>
      </c>
      <c r="E108" s="30" t="s">
        <v>135</v>
      </c>
      <c r="F108" s="3">
        <v>9</v>
      </c>
      <c r="G108" s="73">
        <v>76</v>
      </c>
      <c r="H108" s="249">
        <f t="shared" si="110"/>
        <v>1.45</v>
      </c>
      <c r="I108" s="249">
        <f t="shared" si="95"/>
        <v>1.93</v>
      </c>
      <c r="J108" s="56">
        <f t="shared" si="88"/>
        <v>146.68</v>
      </c>
      <c r="K108" s="57">
        <f t="shared" si="70"/>
        <v>110.2</v>
      </c>
      <c r="L108" s="58">
        <f t="shared" si="114"/>
        <v>36.480000000000004</v>
      </c>
      <c r="M108" s="55">
        <f t="shared" si="77"/>
        <v>1.2370334012516486</v>
      </c>
      <c r="N108" s="29">
        <f t="shared" si="115"/>
        <v>37.717033401251655</v>
      </c>
      <c r="O108" s="16">
        <f t="shared" si="96"/>
        <v>0</v>
      </c>
      <c r="P108" s="16">
        <f t="shared" si="97"/>
        <v>11</v>
      </c>
      <c r="Q108" s="16">
        <f t="shared" si="98"/>
        <v>92</v>
      </c>
      <c r="R108" s="16">
        <f t="shared" si="108"/>
        <v>92</v>
      </c>
      <c r="S108" s="16">
        <f t="shared" si="109"/>
        <v>90</v>
      </c>
      <c r="T108" s="16">
        <f t="shared" si="109"/>
        <v>91</v>
      </c>
      <c r="U108" s="16">
        <f t="shared" si="109"/>
        <v>0</v>
      </c>
      <c r="V108" s="110">
        <f t="shared" si="112"/>
        <v>0</v>
      </c>
      <c r="W108" s="154">
        <f t="shared" si="113"/>
        <v>0</v>
      </c>
      <c r="X108" s="63">
        <f>($L108+SUM($W108:W108))*(P$11*P108)</f>
        <v>0.03573041095890411</v>
      </c>
      <c r="Y108" s="63">
        <f>($L108+SUM($W108:X108))*(Q$11*Q108)</f>
        <v>0.29912886007881406</v>
      </c>
      <c r="Z108" s="63">
        <f>($L108+SUM($W108:Y108))*(R$11*R108)</f>
        <v>0.3015792581380898</v>
      </c>
      <c r="AA108" s="63">
        <f>($L108+SUM($W108:Z108))*(S$11*S108)</f>
        <v>0.2974399525968198</v>
      </c>
      <c r="AB108" s="63">
        <f>($L108+SUM($W108:AA108))*(T$11*T108)</f>
        <v>0.30315491947902073</v>
      </c>
      <c r="AC108" s="63">
        <f>($L108+SUM($W108:AB108))*(U$11*U108)</f>
        <v>0</v>
      </c>
      <c r="AD108" s="63">
        <f>($L108+SUM($W108:AB108))*(V$11*V108)</f>
        <v>0</v>
      </c>
      <c r="AE108" s="114">
        <f t="shared" si="111"/>
        <v>1.2370334012516486</v>
      </c>
    </row>
    <row r="109" spans="1:31" ht="12.75">
      <c r="A109" s="3">
        <v>6</v>
      </c>
      <c r="B109" s="15">
        <f t="shared" si="87"/>
        <v>41061</v>
      </c>
      <c r="C109" s="244">
        <f t="shared" si="93"/>
        <v>41095</v>
      </c>
      <c r="D109" s="244">
        <f t="shared" si="93"/>
        <v>41110</v>
      </c>
      <c r="E109" s="30" t="s">
        <v>135</v>
      </c>
      <c r="F109" s="3">
        <v>9</v>
      </c>
      <c r="G109" s="73">
        <v>92</v>
      </c>
      <c r="H109" s="249">
        <f t="shared" si="110"/>
        <v>1.45</v>
      </c>
      <c r="I109" s="249">
        <f t="shared" si="95"/>
        <v>1.93</v>
      </c>
      <c r="J109" s="56">
        <f t="shared" si="88"/>
        <v>177.56</v>
      </c>
      <c r="K109" s="57">
        <f t="shared" si="70"/>
        <v>133.4</v>
      </c>
      <c r="L109" s="79">
        <f t="shared" si="114"/>
        <v>44.16</v>
      </c>
      <c r="M109" s="80">
        <f t="shared" si="77"/>
        <v>1.3762461098853542</v>
      </c>
      <c r="N109" s="78">
        <f t="shared" si="115"/>
        <v>45.536246109885354</v>
      </c>
      <c r="O109" s="16">
        <f t="shared" si="96"/>
        <v>0</v>
      </c>
      <c r="P109" s="16">
        <f t="shared" si="97"/>
        <v>0</v>
      </c>
      <c r="Q109" s="16">
        <f t="shared" si="98"/>
        <v>73</v>
      </c>
      <c r="R109" s="16">
        <f t="shared" si="108"/>
        <v>92</v>
      </c>
      <c r="S109" s="16">
        <f t="shared" si="109"/>
        <v>90</v>
      </c>
      <c r="T109" s="16">
        <f t="shared" si="109"/>
        <v>91</v>
      </c>
      <c r="U109" s="16">
        <f t="shared" si="109"/>
        <v>0</v>
      </c>
      <c r="V109" s="110">
        <f t="shared" si="112"/>
        <v>0</v>
      </c>
      <c r="W109" s="154">
        <f t="shared" si="113"/>
        <v>0</v>
      </c>
      <c r="X109" s="63">
        <f>($L109+SUM($W109:W109))*(P$11*P109)</f>
        <v>0</v>
      </c>
      <c r="Y109" s="63">
        <f>($L109+SUM($W109:X109))*(Q$11*Q109)</f>
        <v>0.28703999999999996</v>
      </c>
      <c r="Z109" s="63">
        <f>($L109+SUM($W109:Y109))*(R$11*R109)</f>
        <v>0.3641004098630136</v>
      </c>
      <c r="AA109" s="63">
        <f>($L109+SUM($W109:Z109))*(S$11*S109)</f>
        <v>0.3591029745173953</v>
      </c>
      <c r="AB109" s="63">
        <f>($L109+SUM($W109:AA109))*(T$11*T109)</f>
        <v>0.36600272550494534</v>
      </c>
      <c r="AC109" s="63">
        <f>($L109+SUM($W109:AB109))*(U$11*U109)</f>
        <v>0</v>
      </c>
      <c r="AD109" s="63">
        <f>($L109+SUM($W109:AB109))*(V$11*V109)</f>
        <v>0</v>
      </c>
      <c r="AE109" s="114">
        <f t="shared" si="111"/>
        <v>1.3762461098853542</v>
      </c>
    </row>
    <row r="110" spans="1:31" ht="12.75">
      <c r="A110" s="16">
        <v>7</v>
      </c>
      <c r="B110" s="15">
        <f t="shared" si="87"/>
        <v>41091</v>
      </c>
      <c r="C110" s="244">
        <f t="shared" si="93"/>
        <v>41124</v>
      </c>
      <c r="D110" s="244">
        <f t="shared" si="93"/>
        <v>41141</v>
      </c>
      <c r="E110" s="30" t="s">
        <v>135</v>
      </c>
      <c r="F110" s="3">
        <v>9</v>
      </c>
      <c r="G110" s="73">
        <v>90</v>
      </c>
      <c r="H110" s="249">
        <f aca="true" t="shared" si="117" ref="H110:H115">$K$8</f>
        <v>1.14</v>
      </c>
      <c r="I110" s="249">
        <f aca="true" t="shared" si="118" ref="I110:I115">J$8</f>
        <v>1.93</v>
      </c>
      <c r="J110" s="56">
        <f t="shared" si="88"/>
        <v>173.7</v>
      </c>
      <c r="K110" s="57">
        <f t="shared" si="70"/>
        <v>102.6</v>
      </c>
      <c r="L110" s="79">
        <f t="shared" si="114"/>
        <v>71.1</v>
      </c>
      <c r="M110" s="77">
        <f t="shared" si="77"/>
        <v>2.0147661743006937</v>
      </c>
      <c r="N110" s="78">
        <f t="shared" si="115"/>
        <v>73.11476617430068</v>
      </c>
      <c r="O110" s="16">
        <f t="shared" si="96"/>
        <v>0</v>
      </c>
      <c r="P110" s="16">
        <f t="shared" si="97"/>
        <v>0</v>
      </c>
      <c r="Q110" s="16">
        <f t="shared" si="98"/>
        <v>42</v>
      </c>
      <c r="R110" s="16">
        <f t="shared" si="108"/>
        <v>92</v>
      </c>
      <c r="S110" s="16">
        <f t="shared" si="109"/>
        <v>90</v>
      </c>
      <c r="T110" s="16">
        <f t="shared" si="109"/>
        <v>91</v>
      </c>
      <c r="U110" s="16">
        <f t="shared" si="109"/>
        <v>0</v>
      </c>
      <c r="V110" s="110">
        <f t="shared" si="112"/>
        <v>0</v>
      </c>
      <c r="W110" s="154">
        <f t="shared" si="113"/>
        <v>0</v>
      </c>
      <c r="X110" s="63">
        <f>($L110+SUM($W110:W110))*(P$11*P110)</f>
        <v>0</v>
      </c>
      <c r="Y110" s="63">
        <f>($L110+SUM($W110:X110))*(Q$11*Q110)</f>
        <v>0.2658945205479452</v>
      </c>
      <c r="Z110" s="63">
        <f>($L110+SUM($W110:Y110))*(R$11*R110)</f>
        <v>0.5846137660724338</v>
      </c>
      <c r="AA110" s="63">
        <f>($L110+SUM($W110:Z110))*(S$11*S110)</f>
        <v>0.5765896896941496</v>
      </c>
      <c r="AB110" s="63">
        <f>($L110+SUM($W110:AA110))*(T$11*T110)</f>
        <v>0.587668197986165</v>
      </c>
      <c r="AC110" s="63">
        <f>($L110+SUM($W110:AB110))*(U$11*U110)</f>
        <v>0</v>
      </c>
      <c r="AD110" s="63">
        <f>($L110+SUM($W110:AB110))*(V$11*V110)</f>
        <v>0</v>
      </c>
      <c r="AE110" s="114">
        <f aca="true" t="shared" si="119" ref="AE110:AE115">SUM(W110:AD110)</f>
        <v>2.0147661743006937</v>
      </c>
    </row>
    <row r="111" spans="1:31" ht="12.75">
      <c r="A111" s="3">
        <v>8</v>
      </c>
      <c r="B111" s="15">
        <f t="shared" si="87"/>
        <v>41122</v>
      </c>
      <c r="C111" s="244">
        <f t="shared" si="93"/>
        <v>41158</v>
      </c>
      <c r="D111" s="244">
        <f t="shared" si="93"/>
        <v>41173</v>
      </c>
      <c r="E111" s="30" t="s">
        <v>135</v>
      </c>
      <c r="F111" s="3">
        <v>9</v>
      </c>
      <c r="G111" s="73">
        <v>89</v>
      </c>
      <c r="H111" s="249">
        <f t="shared" si="117"/>
        <v>1.14</v>
      </c>
      <c r="I111" s="249">
        <f t="shared" si="118"/>
        <v>1.93</v>
      </c>
      <c r="J111" s="56">
        <f t="shared" si="88"/>
        <v>171.76999999999998</v>
      </c>
      <c r="K111" s="57">
        <f t="shared" si="70"/>
        <v>101.46</v>
      </c>
      <c r="L111" s="79">
        <f t="shared" si="114"/>
        <v>70.30999999999999</v>
      </c>
      <c r="M111" s="77">
        <f t="shared" si="77"/>
        <v>1.7871351819375536</v>
      </c>
      <c r="N111" s="78">
        <f t="shared" si="115"/>
        <v>72.09713518193755</v>
      </c>
      <c r="O111" s="16">
        <f t="shared" si="96"/>
        <v>0</v>
      </c>
      <c r="P111" s="16">
        <f t="shared" si="97"/>
        <v>0</v>
      </c>
      <c r="Q111" s="16">
        <f t="shared" si="98"/>
        <v>10</v>
      </c>
      <c r="R111" s="16">
        <f t="shared" si="108"/>
        <v>92</v>
      </c>
      <c r="S111" s="16">
        <f t="shared" si="109"/>
        <v>90</v>
      </c>
      <c r="T111" s="16">
        <f t="shared" si="109"/>
        <v>91</v>
      </c>
      <c r="U111" s="16">
        <f t="shared" si="109"/>
        <v>0</v>
      </c>
      <c r="V111" s="110">
        <f t="shared" si="112"/>
        <v>0</v>
      </c>
      <c r="W111" s="154">
        <f t="shared" si="113"/>
        <v>0</v>
      </c>
      <c r="X111" s="63">
        <f>($L111+SUM($W111:W111))*(P$11*P111)</f>
        <v>0</v>
      </c>
      <c r="Y111" s="63">
        <f>($L111+SUM($W111:X111))*(Q$11*Q111)</f>
        <v>0.06260479452054793</v>
      </c>
      <c r="Z111" s="63">
        <f>($L111+SUM($W111:Y111))*(R$11*R111)</f>
        <v>0.5764769543441545</v>
      </c>
      <c r="AA111" s="63">
        <f>($L111+SUM($W111:Z111))*(S$11*S111)</f>
        <v>0.568564559220354</v>
      </c>
      <c r="AB111" s="63">
        <f>($L111+SUM($W111:AA111))*(T$11*T111)</f>
        <v>0.5794888738524974</v>
      </c>
      <c r="AC111" s="63">
        <f>($L111+SUM($W111:AB111))*(U$11*U111)</f>
        <v>0</v>
      </c>
      <c r="AD111" s="63">
        <f>($L111+SUM($W111:AB111))*(V$11*V111)</f>
        <v>0</v>
      </c>
      <c r="AE111" s="114">
        <f t="shared" si="119"/>
        <v>1.7871351819375536</v>
      </c>
    </row>
    <row r="112" spans="1:31" ht="12.75">
      <c r="A112" s="3">
        <v>9</v>
      </c>
      <c r="B112" s="15">
        <f t="shared" si="87"/>
        <v>41153</v>
      </c>
      <c r="C112" s="244">
        <f aca="true" t="shared" si="120" ref="C112:D131">+C100</f>
        <v>41185</v>
      </c>
      <c r="D112" s="244">
        <f t="shared" si="120"/>
        <v>41200</v>
      </c>
      <c r="E112" s="30" t="s">
        <v>135</v>
      </c>
      <c r="F112" s="3">
        <v>9</v>
      </c>
      <c r="G112" s="73">
        <v>85</v>
      </c>
      <c r="H112" s="249">
        <f t="shared" si="117"/>
        <v>1.14</v>
      </c>
      <c r="I112" s="249">
        <f t="shared" si="118"/>
        <v>1.93</v>
      </c>
      <c r="J112" s="56">
        <f t="shared" si="88"/>
        <v>164.04999999999998</v>
      </c>
      <c r="K112" s="57">
        <f t="shared" si="70"/>
        <v>96.89999999999999</v>
      </c>
      <c r="L112" s="79">
        <f t="shared" si="114"/>
        <v>67.14999999999999</v>
      </c>
      <c r="M112" s="77">
        <f t="shared" si="77"/>
        <v>1.5422685643954301</v>
      </c>
      <c r="N112" s="78">
        <f t="shared" si="115"/>
        <v>68.69226856439542</v>
      </c>
      <c r="O112" s="16">
        <f t="shared" si="96"/>
        <v>0</v>
      </c>
      <c r="P112" s="16">
        <f t="shared" si="97"/>
        <v>0</v>
      </c>
      <c r="Q112" s="16">
        <f t="shared" si="98"/>
        <v>0</v>
      </c>
      <c r="R112" s="16">
        <f t="shared" si="108"/>
        <v>75</v>
      </c>
      <c r="S112" s="16">
        <f t="shared" si="109"/>
        <v>90</v>
      </c>
      <c r="T112" s="16">
        <f t="shared" si="109"/>
        <v>91</v>
      </c>
      <c r="U112" s="16">
        <f t="shared" si="109"/>
        <v>0</v>
      </c>
      <c r="V112" s="110">
        <f t="shared" si="112"/>
        <v>0</v>
      </c>
      <c r="W112" s="154">
        <f t="shared" si="113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0.44843321917808215</v>
      </c>
      <c r="AA112" s="63">
        <f>($L112+SUM($W112:Z112))*(S$11*S112)</f>
        <v>0.5417134716879338</v>
      </c>
      <c r="AB112" s="63">
        <f>($L112+SUM($W112:AA112))*(T$11*T112)</f>
        <v>0.5521218735294142</v>
      </c>
      <c r="AC112" s="63">
        <f>($L112+SUM($W112:AB112))*(U$11*U112)</f>
        <v>0</v>
      </c>
      <c r="AD112" s="63">
        <f>($L112+SUM($W112:AB112))*(V$11*V112)</f>
        <v>0</v>
      </c>
      <c r="AE112" s="114">
        <f t="shared" si="119"/>
        <v>1.5422685643954301</v>
      </c>
    </row>
    <row r="113" spans="1:31" ht="12.75">
      <c r="A113" s="16">
        <v>10</v>
      </c>
      <c r="B113" s="15">
        <f t="shared" si="87"/>
        <v>41183</v>
      </c>
      <c r="C113" s="244">
        <f t="shared" si="120"/>
        <v>41218</v>
      </c>
      <c r="D113" s="244">
        <f t="shared" si="120"/>
        <v>41233</v>
      </c>
      <c r="E113" s="30" t="s">
        <v>135</v>
      </c>
      <c r="F113" s="3">
        <v>9</v>
      </c>
      <c r="G113" s="73">
        <v>53</v>
      </c>
      <c r="H113" s="249">
        <f t="shared" si="117"/>
        <v>1.14</v>
      </c>
      <c r="I113" s="249">
        <f t="shared" si="118"/>
        <v>1.93</v>
      </c>
      <c r="J113" s="56">
        <f t="shared" si="88"/>
        <v>102.28999999999999</v>
      </c>
      <c r="K113" s="57">
        <f t="shared" si="70"/>
        <v>60.419999999999995</v>
      </c>
      <c r="L113" s="79">
        <f t="shared" si="114"/>
        <v>41.87</v>
      </c>
      <c r="M113" s="77">
        <f t="shared" si="77"/>
        <v>0.8366300606552387</v>
      </c>
      <c r="N113" s="78">
        <f t="shared" si="115"/>
        <v>42.706630060655236</v>
      </c>
      <c r="O113" s="16">
        <f t="shared" si="96"/>
        <v>0</v>
      </c>
      <c r="P113" s="16">
        <f t="shared" si="97"/>
        <v>0</v>
      </c>
      <c r="Q113" s="16">
        <f t="shared" si="98"/>
        <v>0</v>
      </c>
      <c r="R113" s="16">
        <f t="shared" si="108"/>
        <v>42</v>
      </c>
      <c r="S113" s="16">
        <f t="shared" si="109"/>
        <v>90</v>
      </c>
      <c r="T113" s="16">
        <f t="shared" si="109"/>
        <v>91</v>
      </c>
      <c r="U113" s="16">
        <f t="shared" si="109"/>
        <v>0</v>
      </c>
      <c r="V113" s="110">
        <f t="shared" si="112"/>
        <v>0</v>
      </c>
      <c r="W113" s="154">
        <f t="shared" si="113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0.15658232876712327</v>
      </c>
      <c r="AA113" s="63">
        <f>($L113+SUM($W113:Z113))*(S$11*S113)</f>
        <v>0.3367883652373803</v>
      </c>
      <c r="AB113" s="63">
        <f>($L113+SUM($W113:AA113))*(T$11*T113)</f>
        <v>0.3432593666507351</v>
      </c>
      <c r="AC113" s="63">
        <f>($L113+SUM($W113:AB113))*(U$11*U113)</f>
        <v>0</v>
      </c>
      <c r="AD113" s="63">
        <f>($L113+SUM($W113:AB113))*(V$11*V113)</f>
        <v>0</v>
      </c>
      <c r="AE113" s="114">
        <f t="shared" si="119"/>
        <v>0.8366300606552387</v>
      </c>
    </row>
    <row r="114" spans="1:31" ht="12.75">
      <c r="A114" s="3">
        <v>11</v>
      </c>
      <c r="B114" s="15">
        <f t="shared" si="87"/>
        <v>41214</v>
      </c>
      <c r="C114" s="244">
        <f t="shared" si="120"/>
        <v>41248</v>
      </c>
      <c r="D114" s="244">
        <f t="shared" si="120"/>
        <v>41263</v>
      </c>
      <c r="E114" s="30" t="s">
        <v>135</v>
      </c>
      <c r="F114" s="3">
        <v>9</v>
      </c>
      <c r="G114" s="73">
        <v>68</v>
      </c>
      <c r="H114" s="249">
        <f t="shared" si="117"/>
        <v>1.14</v>
      </c>
      <c r="I114" s="249">
        <f t="shared" si="118"/>
        <v>1.93</v>
      </c>
      <c r="J114" s="56">
        <f t="shared" si="88"/>
        <v>131.24</v>
      </c>
      <c r="K114" s="57">
        <f t="shared" si="70"/>
        <v>77.52</v>
      </c>
      <c r="L114" s="79">
        <f t="shared" si="114"/>
        <v>53.72000000000001</v>
      </c>
      <c r="M114" s="77">
        <f t="shared" si="77"/>
        <v>0.9275915185454864</v>
      </c>
      <c r="N114" s="78">
        <f t="shared" si="115"/>
        <v>54.6475915185455</v>
      </c>
      <c r="O114" s="16">
        <f t="shared" si="96"/>
        <v>0</v>
      </c>
      <c r="P114" s="16">
        <f t="shared" si="97"/>
        <v>0</v>
      </c>
      <c r="Q114" s="16">
        <f t="shared" si="98"/>
        <v>0</v>
      </c>
      <c r="R114" s="16">
        <f t="shared" si="108"/>
        <v>12</v>
      </c>
      <c r="S114" s="16">
        <f t="shared" si="109"/>
        <v>90</v>
      </c>
      <c r="T114" s="16">
        <f t="shared" si="109"/>
        <v>91</v>
      </c>
      <c r="U114" s="16">
        <f t="shared" si="109"/>
        <v>0</v>
      </c>
      <c r="V114" s="110">
        <f t="shared" si="112"/>
        <v>0</v>
      </c>
      <c r="W114" s="154">
        <f t="shared" si="113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0.057399452054794534</v>
      </c>
      <c r="AA114" s="63">
        <f>($L114+SUM($W114:Z114))*(S$11*S114)</f>
        <v>0.4309558723212611</v>
      </c>
      <c r="AB114" s="63">
        <f>($L114+SUM($W114:AA114))*(T$11*T114)</f>
        <v>0.43923619416943077</v>
      </c>
      <c r="AC114" s="63">
        <f>($L114+SUM($W114:AB114))*(U$11*U114)</f>
        <v>0</v>
      </c>
      <c r="AD114" s="63">
        <f>($L114+SUM($W114:AB114))*(V$11*V114)</f>
        <v>0</v>
      </c>
      <c r="AE114" s="114">
        <f t="shared" si="119"/>
        <v>0.9275915185454864</v>
      </c>
    </row>
    <row r="115" spans="1:31" s="70" customFormat="1" ht="12.75">
      <c r="A115" s="3">
        <v>12</v>
      </c>
      <c r="B115" s="86">
        <f t="shared" si="87"/>
        <v>41244</v>
      </c>
      <c r="C115" s="244">
        <f t="shared" si="120"/>
        <v>41278</v>
      </c>
      <c r="D115" s="244">
        <f t="shared" si="120"/>
        <v>41295</v>
      </c>
      <c r="E115" s="87" t="s">
        <v>135</v>
      </c>
      <c r="F115" s="83">
        <v>9</v>
      </c>
      <c r="G115" s="88">
        <v>87</v>
      </c>
      <c r="H115" s="250">
        <f t="shared" si="117"/>
        <v>1.14</v>
      </c>
      <c r="I115" s="250">
        <f t="shared" si="118"/>
        <v>1.93</v>
      </c>
      <c r="J115" s="89">
        <f t="shared" si="88"/>
        <v>167.91</v>
      </c>
      <c r="K115" s="308">
        <f t="shared" si="70"/>
        <v>99.17999999999999</v>
      </c>
      <c r="L115" s="91">
        <f t="shared" si="114"/>
        <v>68.73</v>
      </c>
      <c r="M115" s="92">
        <f t="shared" si="77"/>
        <v>0.988758014960593</v>
      </c>
      <c r="N115" s="93">
        <f t="shared" si="115"/>
        <v>69.7187580149606</v>
      </c>
      <c r="O115" s="83">
        <f t="shared" si="96"/>
        <v>0</v>
      </c>
      <c r="P115" s="83">
        <f t="shared" si="97"/>
        <v>0</v>
      </c>
      <c r="Q115" s="83">
        <f t="shared" si="98"/>
        <v>0</v>
      </c>
      <c r="R115" s="83">
        <f t="shared" si="108"/>
        <v>0</v>
      </c>
      <c r="S115" s="83">
        <f t="shared" si="109"/>
        <v>70</v>
      </c>
      <c r="T115" s="83">
        <f t="shared" si="109"/>
        <v>91</v>
      </c>
      <c r="U115" s="83">
        <f t="shared" si="109"/>
        <v>0</v>
      </c>
      <c r="V115" s="111">
        <f t="shared" si="112"/>
        <v>0</v>
      </c>
      <c r="W115" s="155">
        <f t="shared" si="113"/>
        <v>0</v>
      </c>
      <c r="X115" s="94">
        <f>($L115+SUM($W115:W115))*(P$11*P115)</f>
        <v>0</v>
      </c>
      <c r="Y115" s="94">
        <f>($L115+SUM($W115:X115))*(Q$11*Q115)</f>
        <v>0</v>
      </c>
      <c r="Z115" s="94">
        <f>($L115+SUM($W115:Y115))*(R$11*R115)</f>
        <v>0</v>
      </c>
      <c r="AA115" s="94">
        <f>($L115+SUM($W115:Z115))*(S$11*S115)</f>
        <v>0.4283856164383562</v>
      </c>
      <c r="AB115" s="94">
        <f>($L115+SUM($W115:AA115))*(T$11*T115)</f>
        <v>0.5603723985222369</v>
      </c>
      <c r="AC115" s="94">
        <f>($L115+SUM($W115:AB115))*(U$11*U115)</f>
        <v>0</v>
      </c>
      <c r="AD115" s="94">
        <f>($L115+SUM($W115:AB115))*(V$11*V115)</f>
        <v>0</v>
      </c>
      <c r="AE115" s="115">
        <f t="shared" si="119"/>
        <v>0.988758014960593</v>
      </c>
    </row>
    <row r="116" spans="1:31" ht="12.75">
      <c r="A116" s="16">
        <v>1</v>
      </c>
      <c r="B116" s="15">
        <f t="shared" si="87"/>
        <v>40909</v>
      </c>
      <c r="C116" s="243">
        <f t="shared" si="120"/>
        <v>40942</v>
      </c>
      <c r="D116" s="243">
        <f t="shared" si="120"/>
        <v>40959</v>
      </c>
      <c r="E116" s="122" t="s">
        <v>138</v>
      </c>
      <c r="F116" s="16">
        <v>9</v>
      </c>
      <c r="G116" s="73">
        <v>105</v>
      </c>
      <c r="H116" s="249">
        <f aca="true" t="shared" si="121" ref="H116:H121">$K$3</f>
        <v>1.45</v>
      </c>
      <c r="I116" s="249">
        <f aca="true" t="shared" si="122" ref="I116:I133">$J$3</f>
        <v>1.93</v>
      </c>
      <c r="J116" s="56">
        <f t="shared" si="88"/>
        <v>202.65</v>
      </c>
      <c r="K116" s="57">
        <f t="shared" si="70"/>
        <v>152.25</v>
      </c>
      <c r="L116" s="58">
        <f t="shared" si="114"/>
        <v>50.400000000000006</v>
      </c>
      <c r="M116" s="55">
        <f t="shared" si="77"/>
        <v>2.271471440563025</v>
      </c>
      <c r="N116" s="29">
        <f t="shared" si="115"/>
        <v>52.67147144056303</v>
      </c>
      <c r="O116" s="16">
        <f t="shared" si="96"/>
        <v>41</v>
      </c>
      <c r="P116" s="16">
        <f t="shared" si="97"/>
        <v>91</v>
      </c>
      <c r="Q116" s="16">
        <f t="shared" si="98"/>
        <v>92</v>
      </c>
      <c r="R116" s="16">
        <f t="shared" si="108"/>
        <v>92</v>
      </c>
      <c r="S116" s="16">
        <f t="shared" si="109"/>
        <v>90</v>
      </c>
      <c r="T116" s="16">
        <f t="shared" si="109"/>
        <v>91</v>
      </c>
      <c r="U116" s="16">
        <f t="shared" si="109"/>
        <v>0</v>
      </c>
      <c r="V116" s="110">
        <f>IF(W$8&lt;V$8,0,IF($D116&lt;V$8,V$12,IF($D116&lt;W$8,W$8-$D116,0)))</f>
        <v>0</v>
      </c>
      <c r="W116" s="154">
        <f>$L116*O$11*O116</f>
        <v>0.18399452054794524</v>
      </c>
      <c r="X116" s="63">
        <f>($L116+SUM($W116:W116))*(P$11*P116)</f>
        <v>0.4098689419027961</v>
      </c>
      <c r="Y116" s="63">
        <f>($L116+SUM($W116:X116))*(Q$11*Q116)</f>
        <v>0.4177305527471992</v>
      </c>
      <c r="Z116" s="63">
        <f>($L116+SUM($W116:Y116))*(R$11*R116)</f>
        <v>0.42115250987792285</v>
      </c>
      <c r="AA116" s="63">
        <f>($L116+SUM($W116:Z116))*(S$11*S116)</f>
        <v>0.4153720098242381</v>
      </c>
      <c r="AB116" s="63">
        <f>($L116+SUM($W116:AA116))*(T$11*T116)</f>
        <v>0.4233529056629235</v>
      </c>
      <c r="AC116" s="63">
        <f>($L116+SUM($W116:AB116))*(U$11*U116)</f>
        <v>0</v>
      </c>
      <c r="AD116" s="63">
        <f>($L116+SUM($W116:AB116))*(V$11*V116)</f>
        <v>0</v>
      </c>
      <c r="AE116" s="114">
        <f aca="true" t="shared" si="123" ref="AE116:AE121">SUM(W116:AD116)</f>
        <v>2.271471440563025</v>
      </c>
    </row>
    <row r="117" spans="1:31" ht="12.75">
      <c r="A117" s="3">
        <v>2</v>
      </c>
      <c r="B117" s="15">
        <f t="shared" si="87"/>
        <v>40940</v>
      </c>
      <c r="C117" s="244">
        <f t="shared" si="120"/>
        <v>40973</v>
      </c>
      <c r="D117" s="244">
        <f t="shared" si="120"/>
        <v>40988</v>
      </c>
      <c r="E117" s="71" t="s">
        <v>138</v>
      </c>
      <c r="F117" s="3">
        <v>9</v>
      </c>
      <c r="G117" s="73">
        <v>85</v>
      </c>
      <c r="H117" s="249">
        <f t="shared" si="121"/>
        <v>1.45</v>
      </c>
      <c r="I117" s="249">
        <f t="shared" si="122"/>
        <v>1.93</v>
      </c>
      <c r="J117" s="56">
        <f t="shared" si="88"/>
        <v>164.04999999999998</v>
      </c>
      <c r="K117" s="57">
        <f t="shared" si="70"/>
        <v>123.25</v>
      </c>
      <c r="L117" s="58">
        <f t="shared" si="114"/>
        <v>40.79999999999998</v>
      </c>
      <c r="M117" s="55">
        <f t="shared" si="77"/>
        <v>1.7291091126678757</v>
      </c>
      <c r="N117" s="29">
        <f t="shared" si="115"/>
        <v>42.52910911266786</v>
      </c>
      <c r="O117" s="16">
        <f t="shared" si="96"/>
        <v>12</v>
      </c>
      <c r="P117" s="16">
        <f t="shared" si="97"/>
        <v>91</v>
      </c>
      <c r="Q117" s="16">
        <f t="shared" si="98"/>
        <v>92</v>
      </c>
      <c r="R117" s="16">
        <f t="shared" si="108"/>
        <v>92</v>
      </c>
      <c r="S117" s="16">
        <f t="shared" si="109"/>
        <v>90</v>
      </c>
      <c r="T117" s="16">
        <f t="shared" si="109"/>
        <v>91</v>
      </c>
      <c r="U117" s="16">
        <f t="shared" si="109"/>
        <v>0</v>
      </c>
      <c r="V117" s="110">
        <f aca="true" t="shared" si="124" ref="V117:V127">IF(W$8&lt;V$8,0,IF($D117&lt;V$8,V$12,IF($D117&lt;W$8,W$8-$D117,0)))</f>
        <v>0</v>
      </c>
      <c r="W117" s="154">
        <f aca="true" t="shared" si="125" ref="W117:W127">$L117*O$11*O117</f>
        <v>0.04359452054794519</v>
      </c>
      <c r="X117" s="63">
        <f>($L117+SUM($W117:W117))*(P$11*P117)</f>
        <v>0.33094501587539865</v>
      </c>
      <c r="Y117" s="63">
        <f>($L117+SUM($W117:X117))*(Q$11*Q117)</f>
        <v>0.3372928033257691</v>
      </c>
      <c r="Z117" s="63">
        <f>($L117+SUM($W117:Y117))*(R$11*R117)</f>
        <v>0.3400558320434241</v>
      </c>
      <c r="AA117" s="63">
        <f>($L117+SUM($W117:Z117))*(S$11*S117)</f>
        <v>0.33538841891094</v>
      </c>
      <c r="AB117" s="63">
        <f>($L117+SUM($W117:AA117))*(T$11*T117)</f>
        <v>0.3418325219643986</v>
      </c>
      <c r="AC117" s="63">
        <f>($L117+SUM($W117:AB117))*(U$11*U117)</f>
        <v>0</v>
      </c>
      <c r="AD117" s="63">
        <f>($L117+SUM($W117:AB117))*(V$11*V117)</f>
        <v>0</v>
      </c>
      <c r="AE117" s="114">
        <f t="shared" si="123"/>
        <v>1.7291091126678757</v>
      </c>
    </row>
    <row r="118" spans="1:31" ht="12.75">
      <c r="A118" s="3">
        <v>3</v>
      </c>
      <c r="B118" s="15">
        <f t="shared" si="87"/>
        <v>40969</v>
      </c>
      <c r="C118" s="244">
        <f t="shared" si="120"/>
        <v>41003</v>
      </c>
      <c r="D118" s="244">
        <f t="shared" si="120"/>
        <v>41018</v>
      </c>
      <c r="E118" s="71" t="s">
        <v>138</v>
      </c>
      <c r="F118" s="3">
        <v>9</v>
      </c>
      <c r="G118" s="73">
        <v>68</v>
      </c>
      <c r="H118" s="249">
        <f t="shared" si="121"/>
        <v>1.45</v>
      </c>
      <c r="I118" s="249">
        <f t="shared" si="122"/>
        <v>1.93</v>
      </c>
      <c r="J118" s="56">
        <f t="shared" si="88"/>
        <v>131.24</v>
      </c>
      <c r="K118" s="57">
        <f t="shared" si="70"/>
        <v>98.6</v>
      </c>
      <c r="L118" s="58">
        <f>+J118-K118</f>
        <v>32.640000000000015</v>
      </c>
      <c r="M118" s="55">
        <f t="shared" si="77"/>
        <v>1.292937998999893</v>
      </c>
      <c r="N118" s="29">
        <f>SUM(L118:M118)</f>
        <v>33.93293799899991</v>
      </c>
      <c r="O118" s="16">
        <f t="shared" si="96"/>
        <v>0</v>
      </c>
      <c r="P118" s="16">
        <f t="shared" si="97"/>
        <v>73</v>
      </c>
      <c r="Q118" s="16">
        <f t="shared" si="98"/>
        <v>92</v>
      </c>
      <c r="R118" s="16">
        <f t="shared" si="108"/>
        <v>92</v>
      </c>
      <c r="S118" s="16">
        <f t="shared" si="109"/>
        <v>90</v>
      </c>
      <c r="T118" s="16">
        <f t="shared" si="109"/>
        <v>91</v>
      </c>
      <c r="U118" s="16">
        <f t="shared" si="109"/>
        <v>0</v>
      </c>
      <c r="V118" s="110">
        <f t="shared" si="124"/>
        <v>0</v>
      </c>
      <c r="W118" s="154">
        <f t="shared" si="125"/>
        <v>0</v>
      </c>
      <c r="X118" s="63">
        <f>($L118+SUM($W118:W118))*(P$11*P118)</f>
        <v>0.2121600000000001</v>
      </c>
      <c r="Y118" s="63">
        <f>($L118+SUM($W118:X118))*(Q$11*Q118)</f>
        <v>0.2691176942465754</v>
      </c>
      <c r="Z118" s="63">
        <f>($L118+SUM($W118:Y118))*(R$11*R118)</f>
        <v>0.2713222474131433</v>
      </c>
      <c r="AA118" s="63">
        <f>($L118+SUM($W118:Z118))*(S$11*S118)</f>
        <v>0.267598232409191</v>
      </c>
      <c r="AB118" s="63">
        <f>($L118+SUM($W118:AA118))*(T$11*T118)</f>
        <v>0.27273982493098314</v>
      </c>
      <c r="AC118" s="63">
        <f>($L118+SUM($W118:AB118))*(U$11*U118)</f>
        <v>0</v>
      </c>
      <c r="AD118" s="63">
        <f>($L118+SUM($W118:AB118))*(V$11*V118)</f>
        <v>0</v>
      </c>
      <c r="AE118" s="114">
        <f t="shared" si="123"/>
        <v>1.292937998999893</v>
      </c>
    </row>
    <row r="119" spans="1:31" ht="12.75">
      <c r="A119" s="16">
        <v>4</v>
      </c>
      <c r="B119" s="15">
        <f t="shared" si="87"/>
        <v>41000</v>
      </c>
      <c r="C119" s="244">
        <f t="shared" si="120"/>
        <v>41032</v>
      </c>
      <c r="D119" s="244">
        <f t="shared" si="120"/>
        <v>41047</v>
      </c>
      <c r="E119" s="30" t="s">
        <v>138</v>
      </c>
      <c r="F119" s="3">
        <v>9</v>
      </c>
      <c r="G119" s="73">
        <v>71</v>
      </c>
      <c r="H119" s="249">
        <f t="shared" si="121"/>
        <v>1.45</v>
      </c>
      <c r="I119" s="249">
        <f t="shared" si="122"/>
        <v>1.93</v>
      </c>
      <c r="J119" s="56">
        <f t="shared" si="88"/>
        <v>137.03</v>
      </c>
      <c r="K119" s="57">
        <f t="shared" si="70"/>
        <v>102.95</v>
      </c>
      <c r="L119" s="58">
        <f aca="true" t="shared" si="126" ref="L119:L129">+J119-K119</f>
        <v>34.08</v>
      </c>
      <c r="M119" s="55">
        <f t="shared" si="77"/>
        <v>1.2590832049022476</v>
      </c>
      <c r="N119" s="29">
        <f aca="true" t="shared" si="127" ref="N119:N129">SUM(L119:M119)</f>
        <v>35.339083204902245</v>
      </c>
      <c r="O119" s="16">
        <f t="shared" si="96"/>
        <v>0</v>
      </c>
      <c r="P119" s="16">
        <f t="shared" si="97"/>
        <v>44</v>
      </c>
      <c r="Q119" s="16">
        <f t="shared" si="98"/>
        <v>92</v>
      </c>
      <c r="R119" s="16">
        <f t="shared" si="108"/>
        <v>92</v>
      </c>
      <c r="S119" s="16">
        <f t="shared" si="109"/>
        <v>90</v>
      </c>
      <c r="T119" s="16">
        <f t="shared" si="109"/>
        <v>91</v>
      </c>
      <c r="U119" s="16">
        <f t="shared" si="109"/>
        <v>0</v>
      </c>
      <c r="V119" s="110">
        <f t="shared" si="124"/>
        <v>0</v>
      </c>
      <c r="W119" s="154">
        <f t="shared" si="125"/>
        <v>0</v>
      </c>
      <c r="X119" s="63">
        <f>($L119+SUM($W119:W119))*(P$11*P119)</f>
        <v>0.13351890410958903</v>
      </c>
      <c r="Y119" s="63">
        <f>($L119+SUM($W119:X119))*(Q$11*Q119)</f>
        <v>0.2802696480090072</v>
      </c>
      <c r="Z119" s="63">
        <f>($L119+SUM($W119:Y119))*(R$11*R119)</f>
        <v>0.2825655555365331</v>
      </c>
      <c r="AA119" s="63">
        <f>($L119+SUM($W119:Z119))*(S$11*S119)</f>
        <v>0.2786872212736747</v>
      </c>
      <c r="AB119" s="63">
        <f>($L119+SUM($W119:AA119))*(T$11*T119)</f>
        <v>0.28404187597344366</v>
      </c>
      <c r="AC119" s="63">
        <f>($L119+SUM($W119:AB119))*(U$11*U119)</f>
        <v>0</v>
      </c>
      <c r="AD119" s="63">
        <f>($L119+SUM($W119:AB119))*(V$11*V119)</f>
        <v>0</v>
      </c>
      <c r="AE119" s="114">
        <f t="shared" si="123"/>
        <v>1.2590832049022476</v>
      </c>
    </row>
    <row r="120" spans="1:31" ht="12.75">
      <c r="A120" s="3">
        <v>5</v>
      </c>
      <c r="B120" s="15">
        <f t="shared" si="87"/>
        <v>41030</v>
      </c>
      <c r="C120" s="244">
        <f t="shared" si="120"/>
        <v>41065</v>
      </c>
      <c r="D120" s="244">
        <f t="shared" si="120"/>
        <v>41080</v>
      </c>
      <c r="E120" s="30" t="s">
        <v>138</v>
      </c>
      <c r="F120" s="3">
        <v>9</v>
      </c>
      <c r="G120" s="73">
        <v>96</v>
      </c>
      <c r="H120" s="249">
        <f t="shared" si="121"/>
        <v>1.45</v>
      </c>
      <c r="I120" s="249">
        <f t="shared" si="122"/>
        <v>1.93</v>
      </c>
      <c r="J120" s="56">
        <f t="shared" si="88"/>
        <v>185.28</v>
      </c>
      <c r="K120" s="57">
        <f t="shared" si="70"/>
        <v>139.2</v>
      </c>
      <c r="L120" s="58">
        <f t="shared" si="126"/>
        <v>46.08000000000001</v>
      </c>
      <c r="M120" s="55">
        <f t="shared" si="77"/>
        <v>1.5625685068441877</v>
      </c>
      <c r="N120" s="29">
        <f t="shared" si="127"/>
        <v>47.6425685068442</v>
      </c>
      <c r="O120" s="16">
        <f aca="true" t="shared" si="128" ref="O120:U120">IF($D120&lt;O$8,O$12,IF($D120&lt;P$8,P$8-$D120,0))</f>
        <v>0</v>
      </c>
      <c r="P120" s="16">
        <f t="shared" si="128"/>
        <v>11</v>
      </c>
      <c r="Q120" s="16">
        <f t="shared" si="128"/>
        <v>92</v>
      </c>
      <c r="R120" s="16">
        <f t="shared" si="128"/>
        <v>92</v>
      </c>
      <c r="S120" s="16">
        <f t="shared" si="128"/>
        <v>90</v>
      </c>
      <c r="T120" s="16">
        <f t="shared" si="128"/>
        <v>91</v>
      </c>
      <c r="U120" s="16">
        <f t="shared" si="128"/>
        <v>0</v>
      </c>
      <c r="V120" s="110">
        <f>IF(W$8&lt;V$8,0,IF($D120&lt;V$8,V$12,IF($D120&lt;W$8,W$8-$D120,0)))</f>
        <v>0</v>
      </c>
      <c r="W120" s="154">
        <f>$L120*O$11*O120</f>
        <v>0</v>
      </c>
      <c r="X120" s="63">
        <f>($L120+SUM($W120:W120))*(P$11*P120)</f>
        <v>0.04513315068493152</v>
      </c>
      <c r="Y120" s="63">
        <f>($L120+SUM($W120:X120))*(Q$11*Q120)</f>
        <v>0.37784698115218623</v>
      </c>
      <c r="Z120" s="63">
        <f>($L120+SUM($W120:Y120))*(R$11*R120)</f>
        <v>0.3809422208060082</v>
      </c>
      <c r="AA120" s="63">
        <f>($L120+SUM($W120:Z120))*(S$11*S120)</f>
        <v>0.3757136243328251</v>
      </c>
      <c r="AB120" s="63">
        <f>($L120+SUM($W120:AA120))*(T$11*T120)</f>
        <v>0.3829325298682368</v>
      </c>
      <c r="AC120" s="63">
        <f>($L120+SUM($W120:AB120))*(U$11*U120)</f>
        <v>0</v>
      </c>
      <c r="AD120" s="63">
        <f>($L120+SUM($W120:AB120))*(V$11*V120)</f>
        <v>0</v>
      </c>
      <c r="AE120" s="114">
        <f t="shared" si="123"/>
        <v>1.5625685068441877</v>
      </c>
    </row>
    <row r="121" spans="1:31" ht="12.75">
      <c r="A121" s="3">
        <v>6</v>
      </c>
      <c r="B121" s="15">
        <f t="shared" si="87"/>
        <v>41061</v>
      </c>
      <c r="C121" s="244">
        <f t="shared" si="120"/>
        <v>41095</v>
      </c>
      <c r="D121" s="244">
        <f t="shared" si="120"/>
        <v>41110</v>
      </c>
      <c r="E121" s="30" t="s">
        <v>138</v>
      </c>
      <c r="F121" s="3">
        <v>9</v>
      </c>
      <c r="G121" s="73">
        <v>117</v>
      </c>
      <c r="H121" s="249">
        <f t="shared" si="121"/>
        <v>1.45</v>
      </c>
      <c r="I121" s="249">
        <f t="shared" si="122"/>
        <v>1.93</v>
      </c>
      <c r="J121" s="56">
        <f t="shared" si="88"/>
        <v>225.81</v>
      </c>
      <c r="K121" s="57">
        <f t="shared" si="70"/>
        <v>169.65</v>
      </c>
      <c r="L121" s="79">
        <f t="shared" si="126"/>
        <v>56.16</v>
      </c>
      <c r="M121" s="80">
        <f t="shared" si="77"/>
        <v>1.7502260310498527</v>
      </c>
      <c r="N121" s="78">
        <f t="shared" si="127"/>
        <v>57.91022603104985</v>
      </c>
      <c r="O121" s="16">
        <f t="shared" si="96"/>
        <v>0</v>
      </c>
      <c r="P121" s="16">
        <f t="shared" si="97"/>
        <v>0</v>
      </c>
      <c r="Q121" s="16">
        <f t="shared" si="98"/>
        <v>73</v>
      </c>
      <c r="R121" s="16">
        <f t="shared" si="108"/>
        <v>92</v>
      </c>
      <c r="S121" s="16">
        <f t="shared" si="109"/>
        <v>90</v>
      </c>
      <c r="T121" s="16">
        <f t="shared" si="109"/>
        <v>91</v>
      </c>
      <c r="U121" s="16">
        <f t="shared" si="109"/>
        <v>0</v>
      </c>
      <c r="V121" s="110">
        <f t="shared" si="124"/>
        <v>0</v>
      </c>
      <c r="W121" s="154">
        <f t="shared" si="125"/>
        <v>0</v>
      </c>
      <c r="X121" s="63">
        <f>($L121+SUM($W121:W121))*(P$11*P121)</f>
        <v>0</v>
      </c>
      <c r="Y121" s="63">
        <f>($L121+SUM($W121:X121))*(Q$11*Q121)</f>
        <v>0.36504</v>
      </c>
      <c r="Z121" s="63">
        <f>($L121+SUM($W121:Y121))*(R$11*R121)</f>
        <v>0.4630407386301369</v>
      </c>
      <c r="AA121" s="63">
        <f>($L121+SUM($W121:Z121))*(S$11*S121)</f>
        <v>0.45668530454929623</v>
      </c>
      <c r="AB121" s="63">
        <f>($L121+SUM($W121:AA121))*(T$11*T121)</f>
        <v>0.4654599878704196</v>
      </c>
      <c r="AC121" s="63">
        <f>($L121+SUM($W121:AB121))*(U$11*U121)</f>
        <v>0</v>
      </c>
      <c r="AD121" s="63">
        <f>($L121+SUM($W121:AB121))*(V$11*V121)</f>
        <v>0</v>
      </c>
      <c r="AE121" s="114">
        <f t="shared" si="123"/>
        <v>1.7502260310498527</v>
      </c>
    </row>
    <row r="122" spans="1:31" ht="12.75">
      <c r="A122" s="16">
        <v>7</v>
      </c>
      <c r="B122" s="15">
        <f t="shared" si="87"/>
        <v>41091</v>
      </c>
      <c r="C122" s="244">
        <f t="shared" si="120"/>
        <v>41124</v>
      </c>
      <c r="D122" s="244">
        <f t="shared" si="120"/>
        <v>41141</v>
      </c>
      <c r="E122" s="30" t="s">
        <v>138</v>
      </c>
      <c r="F122" s="3">
        <v>9</v>
      </c>
      <c r="G122" s="73">
        <v>113</v>
      </c>
      <c r="H122" s="249">
        <f aca="true" t="shared" si="129" ref="H122:H127">$K$8</f>
        <v>1.14</v>
      </c>
      <c r="I122" s="249">
        <f aca="true" t="shared" si="130" ref="I122:I127">J$8</f>
        <v>1.93</v>
      </c>
      <c r="J122" s="56">
        <f t="shared" si="88"/>
        <v>218.09</v>
      </c>
      <c r="K122" s="57">
        <f t="shared" si="70"/>
        <v>128.82</v>
      </c>
      <c r="L122" s="79">
        <f t="shared" si="126"/>
        <v>89.27000000000001</v>
      </c>
      <c r="M122" s="77">
        <f t="shared" si="77"/>
        <v>2.5296508632886487</v>
      </c>
      <c r="N122" s="78">
        <f t="shared" si="127"/>
        <v>91.79965086328866</v>
      </c>
      <c r="O122" s="16">
        <f t="shared" si="96"/>
        <v>0</v>
      </c>
      <c r="P122" s="16">
        <f t="shared" si="97"/>
        <v>0</v>
      </c>
      <c r="Q122" s="16">
        <f t="shared" si="98"/>
        <v>42</v>
      </c>
      <c r="R122" s="16">
        <f t="shared" si="108"/>
        <v>92</v>
      </c>
      <c r="S122" s="16">
        <f t="shared" si="109"/>
        <v>90</v>
      </c>
      <c r="T122" s="16">
        <f t="shared" si="109"/>
        <v>91</v>
      </c>
      <c r="U122" s="16">
        <f t="shared" si="109"/>
        <v>0</v>
      </c>
      <c r="V122" s="110">
        <f t="shared" si="124"/>
        <v>0</v>
      </c>
      <c r="W122" s="154">
        <f t="shared" si="125"/>
        <v>0</v>
      </c>
      <c r="X122" s="63">
        <f>($L122+SUM($W122:W122))*(P$11*P122)</f>
        <v>0</v>
      </c>
      <c r="Y122" s="63">
        <f>($L122+SUM($W122:X122))*(Q$11*Q122)</f>
        <v>0.3338453424657535</v>
      </c>
      <c r="Z122" s="63">
        <f>($L122+SUM($W122:Y122))*(R$11*R122)</f>
        <v>0.7340150618465002</v>
      </c>
      <c r="AA122" s="63">
        <f>($L122+SUM($W122:Z122))*(S$11*S122)</f>
        <v>0.7239403881715435</v>
      </c>
      <c r="AB122" s="63">
        <f>($L122+SUM($W122:AA122))*(T$11*T122)</f>
        <v>0.7378500708048517</v>
      </c>
      <c r="AC122" s="63">
        <f>($L122+SUM($W122:AB122))*(U$11*U122)</f>
        <v>0</v>
      </c>
      <c r="AD122" s="63">
        <f>($L122+SUM($W122:AB122))*(V$11*V122)</f>
        <v>0</v>
      </c>
      <c r="AE122" s="114">
        <f aca="true" t="shared" si="131" ref="AE122:AE127">SUM(W122:AD122)</f>
        <v>2.5296508632886487</v>
      </c>
    </row>
    <row r="123" spans="1:31" ht="12.75">
      <c r="A123" s="3">
        <v>8</v>
      </c>
      <c r="B123" s="15">
        <f t="shared" si="87"/>
        <v>41122</v>
      </c>
      <c r="C123" s="244">
        <f t="shared" si="120"/>
        <v>41158</v>
      </c>
      <c r="D123" s="244">
        <f t="shared" si="120"/>
        <v>41173</v>
      </c>
      <c r="E123" s="30" t="s">
        <v>138</v>
      </c>
      <c r="F123" s="3">
        <v>9</v>
      </c>
      <c r="G123" s="73">
        <v>111</v>
      </c>
      <c r="H123" s="249">
        <f t="shared" si="129"/>
        <v>1.14</v>
      </c>
      <c r="I123" s="249">
        <f t="shared" si="130"/>
        <v>1.93</v>
      </c>
      <c r="J123" s="56">
        <f t="shared" si="88"/>
        <v>214.23</v>
      </c>
      <c r="K123" s="57">
        <f t="shared" si="70"/>
        <v>126.53999999999999</v>
      </c>
      <c r="L123" s="79">
        <f t="shared" si="126"/>
        <v>87.69</v>
      </c>
      <c r="M123" s="77">
        <f t="shared" si="77"/>
        <v>2.2288989347760504</v>
      </c>
      <c r="N123" s="78">
        <f t="shared" si="127"/>
        <v>89.91889893477605</v>
      </c>
      <c r="O123" s="16">
        <f t="shared" si="96"/>
        <v>0</v>
      </c>
      <c r="P123" s="16">
        <f t="shared" si="97"/>
        <v>0</v>
      </c>
      <c r="Q123" s="16">
        <f t="shared" si="98"/>
        <v>10</v>
      </c>
      <c r="R123" s="16">
        <f t="shared" si="108"/>
        <v>92</v>
      </c>
      <c r="S123" s="16">
        <f t="shared" si="109"/>
        <v>90</v>
      </c>
      <c r="T123" s="16">
        <f t="shared" si="109"/>
        <v>91</v>
      </c>
      <c r="U123" s="16">
        <f t="shared" si="109"/>
        <v>0</v>
      </c>
      <c r="V123" s="110">
        <f t="shared" si="124"/>
        <v>0</v>
      </c>
      <c r="W123" s="154">
        <f t="shared" si="125"/>
        <v>0</v>
      </c>
      <c r="X123" s="63">
        <f>($L123+SUM($W123:W123))*(P$11*P123)</f>
        <v>0</v>
      </c>
      <c r="Y123" s="63">
        <f>($L123+SUM($W123:X123))*(Q$11*Q123)</f>
        <v>0.07808013698630137</v>
      </c>
      <c r="Z123" s="63">
        <f>($L123+SUM($W123:Y123))*(R$11*R123)</f>
        <v>0.7189768756427096</v>
      </c>
      <c r="AA123" s="63">
        <f>($L123+SUM($W123:Z123))*(S$11*S123)</f>
        <v>0.7091086075669585</v>
      </c>
      <c r="AB123" s="63">
        <f>($L123+SUM($W123:AA123))*(T$11*T123)</f>
        <v>0.722733314580081</v>
      </c>
      <c r="AC123" s="63">
        <f>($L123+SUM($W123:AB123))*(U$11*U123)</f>
        <v>0</v>
      </c>
      <c r="AD123" s="63">
        <f>($L123+SUM($W123:AB123))*(V$11*V123)</f>
        <v>0</v>
      </c>
      <c r="AE123" s="114">
        <f t="shared" si="131"/>
        <v>2.2288989347760504</v>
      </c>
    </row>
    <row r="124" spans="1:31" ht="12.75">
      <c r="A124" s="3">
        <v>9</v>
      </c>
      <c r="B124" s="15">
        <f t="shared" si="87"/>
        <v>41153</v>
      </c>
      <c r="C124" s="244">
        <f t="shared" si="120"/>
        <v>41185</v>
      </c>
      <c r="D124" s="244">
        <f t="shared" si="120"/>
        <v>41200</v>
      </c>
      <c r="E124" s="30" t="s">
        <v>138</v>
      </c>
      <c r="F124" s="3">
        <v>9</v>
      </c>
      <c r="G124" s="73">
        <v>109</v>
      </c>
      <c r="H124" s="249">
        <f t="shared" si="129"/>
        <v>1.14</v>
      </c>
      <c r="I124" s="249">
        <f t="shared" si="130"/>
        <v>1.93</v>
      </c>
      <c r="J124" s="56">
        <f t="shared" si="88"/>
        <v>210.37</v>
      </c>
      <c r="K124" s="57">
        <f t="shared" si="70"/>
        <v>124.25999999999999</v>
      </c>
      <c r="L124" s="79">
        <f t="shared" si="126"/>
        <v>86.11000000000001</v>
      </c>
      <c r="M124" s="77">
        <f t="shared" si="77"/>
        <v>1.9777326296364937</v>
      </c>
      <c r="N124" s="78">
        <f t="shared" si="127"/>
        <v>88.0877326296365</v>
      </c>
      <c r="O124" s="16">
        <f t="shared" si="96"/>
        <v>0</v>
      </c>
      <c r="P124" s="16">
        <f t="shared" si="97"/>
        <v>0</v>
      </c>
      <c r="Q124" s="16">
        <f t="shared" si="98"/>
        <v>0</v>
      </c>
      <c r="R124" s="16">
        <f t="shared" si="108"/>
        <v>75</v>
      </c>
      <c r="S124" s="16">
        <f t="shared" si="109"/>
        <v>90</v>
      </c>
      <c r="T124" s="16">
        <f t="shared" si="109"/>
        <v>91</v>
      </c>
      <c r="U124" s="16">
        <f t="shared" si="109"/>
        <v>0</v>
      </c>
      <c r="V124" s="110">
        <f t="shared" si="124"/>
        <v>0</v>
      </c>
      <c r="W124" s="154">
        <f t="shared" si="125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0.5750496575342467</v>
      </c>
      <c r="AA124" s="63">
        <f>($L124+SUM($W124:Z124))*(S$11*S124)</f>
        <v>0.694667863693939</v>
      </c>
      <c r="AB124" s="63">
        <f>($L124+SUM($W124:AA124))*(T$11*T124)</f>
        <v>0.708015108408308</v>
      </c>
      <c r="AC124" s="63">
        <f>($L124+SUM($W124:AB124))*(U$11*U124)</f>
        <v>0</v>
      </c>
      <c r="AD124" s="63">
        <f>($L124+SUM($W124:AB124))*(V$11*V124)</f>
        <v>0</v>
      </c>
      <c r="AE124" s="114">
        <f t="shared" si="131"/>
        <v>1.9777326296364937</v>
      </c>
    </row>
    <row r="125" spans="1:31" ht="12.75">
      <c r="A125" s="16">
        <v>10</v>
      </c>
      <c r="B125" s="15">
        <f t="shared" si="87"/>
        <v>41183</v>
      </c>
      <c r="C125" s="244">
        <f t="shared" si="120"/>
        <v>41218</v>
      </c>
      <c r="D125" s="244">
        <f t="shared" si="120"/>
        <v>41233</v>
      </c>
      <c r="E125" s="30" t="s">
        <v>138</v>
      </c>
      <c r="F125" s="3">
        <v>9</v>
      </c>
      <c r="G125" s="73">
        <v>71</v>
      </c>
      <c r="H125" s="249">
        <f t="shared" si="129"/>
        <v>1.14</v>
      </c>
      <c r="I125" s="249">
        <f t="shared" si="130"/>
        <v>1.93</v>
      </c>
      <c r="J125" s="56">
        <f t="shared" si="88"/>
        <v>137.03</v>
      </c>
      <c r="K125" s="57">
        <f t="shared" si="70"/>
        <v>80.94</v>
      </c>
      <c r="L125" s="79">
        <f t="shared" si="126"/>
        <v>56.09</v>
      </c>
      <c r="M125" s="77">
        <f t="shared" si="77"/>
        <v>1.120768571821169</v>
      </c>
      <c r="N125" s="78">
        <f t="shared" si="127"/>
        <v>57.21076857182117</v>
      </c>
      <c r="O125" s="16">
        <f t="shared" si="96"/>
        <v>0</v>
      </c>
      <c r="P125" s="16">
        <f t="shared" si="97"/>
        <v>0</v>
      </c>
      <c r="Q125" s="16">
        <f t="shared" si="98"/>
        <v>0</v>
      </c>
      <c r="R125" s="16">
        <f t="shared" si="108"/>
        <v>42</v>
      </c>
      <c r="S125" s="16">
        <f t="shared" si="109"/>
        <v>90</v>
      </c>
      <c r="T125" s="16">
        <f t="shared" si="109"/>
        <v>91</v>
      </c>
      <c r="U125" s="16">
        <f t="shared" si="109"/>
        <v>0</v>
      </c>
      <c r="V125" s="110">
        <f t="shared" si="124"/>
        <v>0</v>
      </c>
      <c r="W125" s="154">
        <f t="shared" si="125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0.20976123287671233</v>
      </c>
      <c r="AA125" s="63">
        <f>($L125+SUM($W125:Z125))*(S$11*S125)</f>
        <v>0.4511693194689435</v>
      </c>
      <c r="AB125" s="63">
        <f>($L125+SUM($W125:AA125))*(T$11*T125)</f>
        <v>0.4598380194755131</v>
      </c>
      <c r="AC125" s="63">
        <f>($L125+SUM($W125:AB125))*(U$11*U125)</f>
        <v>0</v>
      </c>
      <c r="AD125" s="63">
        <f>($L125+SUM($W125:AB125))*(V$11*V125)</f>
        <v>0</v>
      </c>
      <c r="AE125" s="114">
        <f t="shared" si="131"/>
        <v>1.120768571821169</v>
      </c>
    </row>
    <row r="126" spans="1:31" ht="12.75">
      <c r="A126" s="3">
        <v>11</v>
      </c>
      <c r="B126" s="15">
        <f t="shared" si="87"/>
        <v>41214</v>
      </c>
      <c r="C126" s="244">
        <f t="shared" si="120"/>
        <v>41248</v>
      </c>
      <c r="D126" s="244">
        <f t="shared" si="120"/>
        <v>41263</v>
      </c>
      <c r="E126" s="30" t="s">
        <v>138</v>
      </c>
      <c r="F126" s="3">
        <v>9</v>
      </c>
      <c r="G126" s="73">
        <v>83</v>
      </c>
      <c r="H126" s="249">
        <f t="shared" si="129"/>
        <v>1.14</v>
      </c>
      <c r="I126" s="249">
        <f t="shared" si="130"/>
        <v>1.93</v>
      </c>
      <c r="J126" s="56">
        <f t="shared" si="88"/>
        <v>160.19</v>
      </c>
      <c r="K126" s="57">
        <f t="shared" si="70"/>
        <v>94.61999999999999</v>
      </c>
      <c r="L126" s="79">
        <f t="shared" si="126"/>
        <v>65.57000000000001</v>
      </c>
      <c r="M126" s="77">
        <f t="shared" si="77"/>
        <v>1.1322072946952257</v>
      </c>
      <c r="N126" s="78">
        <f t="shared" si="127"/>
        <v>66.70220729469523</v>
      </c>
      <c r="O126" s="16">
        <f t="shared" si="96"/>
        <v>0</v>
      </c>
      <c r="P126" s="16">
        <f t="shared" si="97"/>
        <v>0</v>
      </c>
      <c r="Q126" s="16">
        <f t="shared" si="98"/>
        <v>0</v>
      </c>
      <c r="R126" s="16">
        <f t="shared" si="108"/>
        <v>12</v>
      </c>
      <c r="S126" s="16">
        <f t="shared" si="109"/>
        <v>90</v>
      </c>
      <c r="T126" s="16">
        <f t="shared" si="109"/>
        <v>91</v>
      </c>
      <c r="U126" s="16">
        <f t="shared" si="109"/>
        <v>0</v>
      </c>
      <c r="V126" s="110">
        <f t="shared" si="124"/>
        <v>0</v>
      </c>
      <c r="W126" s="154">
        <f t="shared" si="125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0.07006109589041097</v>
      </c>
      <c r="AA126" s="63">
        <f>($L126+SUM($W126:Z126))*(S$11*S126)</f>
        <v>0.5260196676862451</v>
      </c>
      <c r="AB126" s="63">
        <f>($L126+SUM($W126:AA126))*(T$11*T126)</f>
        <v>0.5361265311185698</v>
      </c>
      <c r="AC126" s="63">
        <f>($L126+SUM($W126:AB126))*(U$11*U126)</f>
        <v>0</v>
      </c>
      <c r="AD126" s="63">
        <f>($L126+SUM($W126:AB126))*(V$11*V126)</f>
        <v>0</v>
      </c>
      <c r="AE126" s="114">
        <f t="shared" si="131"/>
        <v>1.1322072946952257</v>
      </c>
    </row>
    <row r="127" spans="1:31" s="70" customFormat="1" ht="12.75">
      <c r="A127" s="3">
        <v>12</v>
      </c>
      <c r="B127" s="86">
        <f t="shared" si="87"/>
        <v>41244</v>
      </c>
      <c r="C127" s="244">
        <f t="shared" si="120"/>
        <v>41278</v>
      </c>
      <c r="D127" s="244">
        <f t="shared" si="120"/>
        <v>41295</v>
      </c>
      <c r="E127" s="87" t="s">
        <v>138</v>
      </c>
      <c r="F127" s="83">
        <v>9</v>
      </c>
      <c r="G127" s="88">
        <v>101</v>
      </c>
      <c r="H127" s="250">
        <f t="shared" si="129"/>
        <v>1.14</v>
      </c>
      <c r="I127" s="250">
        <f t="shared" si="130"/>
        <v>1.93</v>
      </c>
      <c r="J127" s="89">
        <f t="shared" si="88"/>
        <v>194.93</v>
      </c>
      <c r="K127" s="308">
        <f t="shared" si="70"/>
        <v>115.13999999999999</v>
      </c>
      <c r="L127" s="91">
        <f t="shared" si="126"/>
        <v>79.79000000000002</v>
      </c>
      <c r="M127" s="92">
        <f t="shared" si="77"/>
        <v>1.1478685001266657</v>
      </c>
      <c r="N127" s="93">
        <f t="shared" si="127"/>
        <v>80.93786850012668</v>
      </c>
      <c r="O127" s="83">
        <f t="shared" si="96"/>
        <v>0</v>
      </c>
      <c r="P127" s="83">
        <f t="shared" si="97"/>
        <v>0</v>
      </c>
      <c r="Q127" s="83">
        <f t="shared" si="98"/>
        <v>0</v>
      </c>
      <c r="R127" s="83">
        <f t="shared" si="108"/>
        <v>0</v>
      </c>
      <c r="S127" s="83">
        <f t="shared" si="109"/>
        <v>70</v>
      </c>
      <c r="T127" s="83">
        <f t="shared" si="109"/>
        <v>91</v>
      </c>
      <c r="U127" s="83">
        <f t="shared" si="109"/>
        <v>0</v>
      </c>
      <c r="V127" s="111">
        <f t="shared" si="124"/>
        <v>0</v>
      </c>
      <c r="W127" s="155">
        <f t="shared" si="125"/>
        <v>0</v>
      </c>
      <c r="X127" s="94">
        <f>($L127+SUM($W127:W127))*(P$11*P127)</f>
        <v>0</v>
      </c>
      <c r="Y127" s="94">
        <f>($L127+SUM($W127:X127))*(Q$11*Q127)</f>
        <v>0</v>
      </c>
      <c r="Z127" s="94">
        <f>($L127+SUM($W127:Y127))*(R$11*R127)</f>
        <v>0</v>
      </c>
      <c r="AA127" s="94">
        <f>($L127+SUM($W127:Z127))*(S$11*S127)</f>
        <v>0.4973212328767125</v>
      </c>
      <c r="AB127" s="94">
        <f>($L127+SUM($W127:AA127))*(T$11*T127)</f>
        <v>0.6505472672499533</v>
      </c>
      <c r="AC127" s="94">
        <f>($L127+SUM($W127:AB127))*(U$11*U127)</f>
        <v>0</v>
      </c>
      <c r="AD127" s="94">
        <f>($L127+SUM($W127:AB127))*(V$11*V127)</f>
        <v>0</v>
      </c>
      <c r="AE127" s="115">
        <f t="shared" si="131"/>
        <v>1.1478685001266657</v>
      </c>
    </row>
    <row r="128" spans="1:31" ht="12.75">
      <c r="A128" s="16">
        <v>1</v>
      </c>
      <c r="B128" s="15">
        <f t="shared" si="87"/>
        <v>40909</v>
      </c>
      <c r="C128" s="243">
        <f t="shared" si="120"/>
        <v>40942</v>
      </c>
      <c r="D128" s="243">
        <f t="shared" si="120"/>
        <v>40959</v>
      </c>
      <c r="E128" s="122" t="s">
        <v>139</v>
      </c>
      <c r="F128" s="16">
        <v>9</v>
      </c>
      <c r="G128" s="73">
        <v>4</v>
      </c>
      <c r="H128" s="249">
        <f aca="true" t="shared" si="132" ref="H128:H133">$K$3</f>
        <v>1.45</v>
      </c>
      <c r="I128" s="249">
        <f t="shared" si="122"/>
        <v>1.93</v>
      </c>
      <c r="J128" s="56">
        <f t="shared" si="88"/>
        <v>7.72</v>
      </c>
      <c r="K128" s="57">
        <f t="shared" si="70"/>
        <v>5.8</v>
      </c>
      <c r="L128" s="58">
        <f t="shared" si="126"/>
        <v>1.92</v>
      </c>
      <c r="M128" s="55">
        <f t="shared" si="77"/>
        <v>0.08653224535478188</v>
      </c>
      <c r="N128" s="29">
        <f t="shared" si="127"/>
        <v>2.006532245354782</v>
      </c>
      <c r="O128" s="16">
        <f aca="true" t="shared" si="133" ref="O128:Q139">IF($D128&lt;O$8,O$12,IF($D128&lt;P$8,P$8-$D128,0))</f>
        <v>41</v>
      </c>
      <c r="P128" s="16">
        <f t="shared" si="133"/>
        <v>91</v>
      </c>
      <c r="Q128" s="16">
        <f t="shared" si="133"/>
        <v>92</v>
      </c>
      <c r="R128" s="16">
        <f t="shared" si="108"/>
        <v>92</v>
      </c>
      <c r="S128" s="16">
        <f t="shared" si="109"/>
        <v>90</v>
      </c>
      <c r="T128" s="16">
        <f t="shared" si="109"/>
        <v>91</v>
      </c>
      <c r="U128" s="16">
        <f t="shared" si="109"/>
        <v>0</v>
      </c>
      <c r="V128" s="110">
        <f>IF(W$8&lt;V$8,0,IF($D128&lt;V$8,V$12,IF($D128&lt;W$8,W$8-$D128,0)))</f>
        <v>0</v>
      </c>
      <c r="W128" s="154">
        <f>$L128*O$11*O128</f>
        <v>0.007009315068493151</v>
      </c>
      <c r="X128" s="63">
        <f>($L128+SUM($W128:W128))*(P$11*P128)</f>
        <v>0.015614054929630325</v>
      </c>
      <c r="Y128" s="63">
        <f>($L128+SUM($W128:X128))*(Q$11*Q128)</f>
        <v>0.015913544866559968</v>
      </c>
      <c r="Z128" s="63">
        <f>($L128+SUM($W128:Y128))*(R$11*R128)</f>
        <v>0.016043905138206582</v>
      </c>
      <c r="AA128" s="63">
        <f>($L128+SUM($W128:Z128))*(S$11*S128)</f>
        <v>0.015823695612351925</v>
      </c>
      <c r="AB128" s="63">
        <f>($L128+SUM($W128:AA128))*(T$11*T128)</f>
        <v>0.01612772973953994</v>
      </c>
      <c r="AC128" s="63">
        <f>($L128+SUM($W128:AB128))*(U$11*U128)</f>
        <v>0</v>
      </c>
      <c r="AD128" s="63">
        <f>($L128+SUM($W128:AB128))*(V$11*V128)</f>
        <v>0</v>
      </c>
      <c r="AE128" s="114">
        <f aca="true" t="shared" si="134" ref="AE128:AE133">SUM(W128:AD128)</f>
        <v>0.08653224535478188</v>
      </c>
    </row>
    <row r="129" spans="1:31" ht="12.75">
      <c r="A129" s="3">
        <v>2</v>
      </c>
      <c r="B129" s="15">
        <f t="shared" si="87"/>
        <v>40940</v>
      </c>
      <c r="C129" s="244">
        <f t="shared" si="120"/>
        <v>40973</v>
      </c>
      <c r="D129" s="244">
        <f t="shared" si="120"/>
        <v>40988</v>
      </c>
      <c r="E129" s="71" t="s">
        <v>139</v>
      </c>
      <c r="F129" s="3">
        <v>9</v>
      </c>
      <c r="G129" s="73">
        <v>3</v>
      </c>
      <c r="H129" s="249">
        <f t="shared" si="132"/>
        <v>1.45</v>
      </c>
      <c r="I129" s="249">
        <f t="shared" si="122"/>
        <v>1.93</v>
      </c>
      <c r="J129" s="56">
        <f t="shared" si="88"/>
        <v>5.79</v>
      </c>
      <c r="K129" s="57">
        <f t="shared" si="70"/>
        <v>4.35</v>
      </c>
      <c r="L129" s="58">
        <f t="shared" si="126"/>
        <v>1.4400000000000004</v>
      </c>
      <c r="M129" s="55">
        <f t="shared" si="77"/>
        <v>0.061027380447101535</v>
      </c>
      <c r="N129" s="29">
        <f t="shared" si="127"/>
        <v>1.501027380447102</v>
      </c>
      <c r="O129" s="16">
        <f t="shared" si="133"/>
        <v>12</v>
      </c>
      <c r="P129" s="16">
        <f t="shared" si="133"/>
        <v>91</v>
      </c>
      <c r="Q129" s="16">
        <f t="shared" si="133"/>
        <v>92</v>
      </c>
      <c r="R129" s="16">
        <f t="shared" si="108"/>
        <v>92</v>
      </c>
      <c r="S129" s="16">
        <f t="shared" si="109"/>
        <v>90</v>
      </c>
      <c r="T129" s="16">
        <f t="shared" si="109"/>
        <v>91</v>
      </c>
      <c r="U129" s="16">
        <f t="shared" si="109"/>
        <v>0</v>
      </c>
      <c r="V129" s="110">
        <f aca="true" t="shared" si="135" ref="V129:V151">IF(W$8&lt;V$8,0,IF($D129&lt;V$8,V$12,IF($D129&lt;W$8,W$8-$D129,0)))</f>
        <v>0</v>
      </c>
      <c r="W129" s="154">
        <f aca="true" t="shared" si="136" ref="W129:W151">$L129*O$11*O129</f>
        <v>0.0015386301369863017</v>
      </c>
      <c r="X129" s="63">
        <f>($L129+SUM($W129:W129))*(P$11*P129)</f>
        <v>0.011680412325014078</v>
      </c>
      <c r="Y129" s="63">
        <f>($L129+SUM($W129:X129))*(Q$11*Q129)</f>
        <v>0.011904451882085979</v>
      </c>
      <c r="Z129" s="63">
        <f>($L129+SUM($W129:Y129))*(R$11*R129)</f>
        <v>0.012001970542709092</v>
      </c>
      <c r="AA129" s="63">
        <f>($L129+SUM($W129:Z129))*(S$11*S129)</f>
        <v>0.011837238314503774</v>
      </c>
      <c r="AB129" s="63">
        <f>($L129+SUM($W129:AA129))*(T$11*T129)</f>
        <v>0.01206467724580231</v>
      </c>
      <c r="AC129" s="63">
        <f>($L129+SUM($W129:AB129))*(U$11*U129)</f>
        <v>0</v>
      </c>
      <c r="AD129" s="63">
        <f>($L129+SUM($W129:AB129))*(V$11*V129)</f>
        <v>0</v>
      </c>
      <c r="AE129" s="114">
        <f t="shared" si="134"/>
        <v>0.061027380447101535</v>
      </c>
    </row>
    <row r="130" spans="1:31" ht="12.75">
      <c r="A130" s="3">
        <v>3</v>
      </c>
      <c r="B130" s="15">
        <f t="shared" si="87"/>
        <v>40969</v>
      </c>
      <c r="C130" s="244">
        <f t="shared" si="120"/>
        <v>41003</v>
      </c>
      <c r="D130" s="244">
        <f t="shared" si="120"/>
        <v>41018</v>
      </c>
      <c r="E130" s="71" t="s">
        <v>139</v>
      </c>
      <c r="F130" s="3">
        <v>9</v>
      </c>
      <c r="G130" s="73">
        <v>4</v>
      </c>
      <c r="H130" s="249">
        <f t="shared" si="132"/>
        <v>1.45</v>
      </c>
      <c r="I130" s="249">
        <f t="shared" si="122"/>
        <v>1.93</v>
      </c>
      <c r="J130" s="56">
        <f t="shared" si="88"/>
        <v>7.72</v>
      </c>
      <c r="K130" s="57">
        <f t="shared" si="70"/>
        <v>5.8</v>
      </c>
      <c r="L130" s="58">
        <f>+J130-K130</f>
        <v>1.92</v>
      </c>
      <c r="M130" s="55">
        <f t="shared" si="77"/>
        <v>0.07605517641175838</v>
      </c>
      <c r="N130" s="29">
        <f>SUM(L130:M130)</f>
        <v>1.9960551764117582</v>
      </c>
      <c r="O130" s="16">
        <f t="shared" si="133"/>
        <v>0</v>
      </c>
      <c r="P130" s="16">
        <f t="shared" si="133"/>
        <v>73</v>
      </c>
      <c r="Q130" s="16">
        <f t="shared" si="133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10">
        <f>IF(W$8&lt;V$8,0,IF($D130&lt;V$8,V$12,IF($D130&lt;W$8,W$8-$D130,0)))</f>
        <v>0</v>
      </c>
      <c r="W130" s="154">
        <f>$L130*O$11*O130</f>
        <v>0</v>
      </c>
      <c r="X130" s="63">
        <f>($L130+SUM($W130:W130))*(P$11*P130)</f>
        <v>0.01248</v>
      </c>
      <c r="Y130" s="63">
        <f>($L130+SUM($W130:X130))*(Q$11*Q130)</f>
        <v>0.015830452602739725</v>
      </c>
      <c r="Z130" s="63">
        <f>($L130+SUM($W130:Y130))*(R$11*R130)</f>
        <v>0.015960132200773126</v>
      </c>
      <c r="AA130" s="63">
        <f>($L130+SUM($W130:Z130))*(S$11*S130)</f>
        <v>0.015741072494658285</v>
      </c>
      <c r="AB130" s="63">
        <f>($L130+SUM($W130:AA130))*(T$11*T130)</f>
        <v>0.016043519113587236</v>
      </c>
      <c r="AC130" s="63">
        <f>($L130+SUM($W130:AB130))*(U$11*U130)</f>
        <v>0</v>
      </c>
      <c r="AD130" s="63">
        <f>($L130+SUM($W130:AB130))*(V$11*V130)</f>
        <v>0</v>
      </c>
      <c r="AE130" s="114">
        <f t="shared" si="134"/>
        <v>0.07605517641175838</v>
      </c>
    </row>
    <row r="131" spans="1:31" ht="12.75">
      <c r="A131" s="16">
        <v>4</v>
      </c>
      <c r="B131" s="15">
        <f t="shared" si="87"/>
        <v>41000</v>
      </c>
      <c r="C131" s="244">
        <f t="shared" si="120"/>
        <v>41032</v>
      </c>
      <c r="D131" s="244">
        <f t="shared" si="120"/>
        <v>41047</v>
      </c>
      <c r="E131" s="71" t="s">
        <v>139</v>
      </c>
      <c r="F131" s="3">
        <v>9</v>
      </c>
      <c r="G131" s="73">
        <v>6</v>
      </c>
      <c r="H131" s="249">
        <f t="shared" si="132"/>
        <v>1.45</v>
      </c>
      <c r="I131" s="249">
        <f t="shared" si="122"/>
        <v>1.93</v>
      </c>
      <c r="J131" s="56">
        <f t="shared" si="88"/>
        <v>11.58</v>
      </c>
      <c r="K131" s="57">
        <f t="shared" si="70"/>
        <v>8.7</v>
      </c>
      <c r="L131" s="58">
        <f aca="true" t="shared" si="137" ref="L131:L141">+J131-K131</f>
        <v>2.880000000000001</v>
      </c>
      <c r="M131" s="55">
        <f t="shared" si="77"/>
        <v>0.10640139759737308</v>
      </c>
      <c r="N131" s="29">
        <f aca="true" t="shared" si="138" ref="N131:N141">SUM(L131:M131)</f>
        <v>2.986401397597374</v>
      </c>
      <c r="O131" s="16">
        <f t="shared" si="133"/>
        <v>0</v>
      </c>
      <c r="P131" s="16">
        <f t="shared" si="133"/>
        <v>44</v>
      </c>
      <c r="Q131" s="16">
        <f t="shared" si="133"/>
        <v>92</v>
      </c>
      <c r="R131" s="16">
        <f t="shared" si="108"/>
        <v>92</v>
      </c>
      <c r="S131" s="16">
        <f t="shared" si="109"/>
        <v>90</v>
      </c>
      <c r="T131" s="16">
        <f t="shared" si="109"/>
        <v>91</v>
      </c>
      <c r="U131" s="16">
        <f t="shared" si="109"/>
        <v>0</v>
      </c>
      <c r="V131" s="110">
        <f t="shared" si="135"/>
        <v>0</v>
      </c>
      <c r="W131" s="154">
        <f t="shared" si="136"/>
        <v>0</v>
      </c>
      <c r="X131" s="63">
        <f>($L131+SUM($W131:W131))*(P$11*P131)</f>
        <v>0.01128328767123288</v>
      </c>
      <c r="Y131" s="63">
        <f>($L131+SUM($W131:X131))*(Q$11*Q131)</f>
        <v>0.023684758986676678</v>
      </c>
      <c r="Z131" s="63">
        <f>($L131+SUM($W131:Y131))*(R$11*R131)</f>
        <v>0.023878779341115482</v>
      </c>
      <c r="AA131" s="63">
        <f>($L131+SUM($W131:Z131))*(S$11*S131)</f>
        <v>0.023551032783690824</v>
      </c>
      <c r="AB131" s="63">
        <f>($L131+SUM($W131:AA131))*(T$11*T131)</f>
        <v>0.024003538814657218</v>
      </c>
      <c r="AC131" s="63">
        <f>($L131+SUM($W131:AB131))*(U$11*U131)</f>
        <v>0</v>
      </c>
      <c r="AD131" s="63">
        <f>($L131+SUM($W131:AB131))*(V$11*V131)</f>
        <v>0</v>
      </c>
      <c r="AE131" s="114">
        <f t="shared" si="134"/>
        <v>0.10640139759737308</v>
      </c>
    </row>
    <row r="132" spans="1:31" ht="12.75">
      <c r="A132" s="3">
        <v>5</v>
      </c>
      <c r="B132" s="15">
        <f t="shared" si="87"/>
        <v>41030</v>
      </c>
      <c r="C132" s="244">
        <f aca="true" t="shared" si="139" ref="C132:D151">+C120</f>
        <v>41065</v>
      </c>
      <c r="D132" s="244">
        <f t="shared" si="139"/>
        <v>41080</v>
      </c>
      <c r="E132" s="30" t="s">
        <v>139</v>
      </c>
      <c r="F132" s="3">
        <v>9</v>
      </c>
      <c r="G132" s="73">
        <v>7</v>
      </c>
      <c r="H132" s="249">
        <f t="shared" si="132"/>
        <v>1.45</v>
      </c>
      <c r="I132" s="249">
        <f t="shared" si="122"/>
        <v>1.93</v>
      </c>
      <c r="J132" s="56">
        <f t="shared" si="88"/>
        <v>13.51</v>
      </c>
      <c r="K132" s="57">
        <f t="shared" si="70"/>
        <v>10.15</v>
      </c>
      <c r="L132" s="58">
        <f t="shared" si="137"/>
        <v>3.3599999999999994</v>
      </c>
      <c r="M132" s="55">
        <f t="shared" si="77"/>
        <v>0.11393728695738865</v>
      </c>
      <c r="N132" s="29">
        <f t="shared" si="138"/>
        <v>3.473937286957388</v>
      </c>
      <c r="O132" s="16">
        <f t="shared" si="133"/>
        <v>0</v>
      </c>
      <c r="P132" s="16">
        <f t="shared" si="133"/>
        <v>11</v>
      </c>
      <c r="Q132" s="16">
        <f t="shared" si="133"/>
        <v>92</v>
      </c>
      <c r="R132" s="16">
        <f t="shared" si="108"/>
        <v>92</v>
      </c>
      <c r="S132" s="16">
        <f t="shared" si="109"/>
        <v>90</v>
      </c>
      <c r="T132" s="16">
        <f t="shared" si="109"/>
        <v>91</v>
      </c>
      <c r="U132" s="16">
        <f t="shared" si="109"/>
        <v>0</v>
      </c>
      <c r="V132" s="110">
        <f t="shared" si="135"/>
        <v>0</v>
      </c>
      <c r="W132" s="154">
        <f t="shared" si="136"/>
        <v>0</v>
      </c>
      <c r="X132" s="63">
        <f>($L132+SUM($W132:W132))*(P$11*P132)</f>
        <v>0.0032909589041095885</v>
      </c>
      <c r="Y132" s="63">
        <f>($L132+SUM($W132:X132))*(Q$11*Q132)</f>
        <v>0.027551342375680233</v>
      </c>
      <c r="Z132" s="63">
        <f>($L132+SUM($W132:Y132))*(R$11*R132)</f>
        <v>0.027777036933771423</v>
      </c>
      <c r="AA132" s="63">
        <f>($L132+SUM($W132:Z132))*(S$11*S132)</f>
        <v>0.027395785107601822</v>
      </c>
      <c r="AB132" s="63">
        <f>($L132+SUM($W132:AA132))*(T$11*T132)</f>
        <v>0.027922163636225586</v>
      </c>
      <c r="AC132" s="63">
        <f>($L132+SUM($W132:AB132))*(U$11*U132)</f>
        <v>0</v>
      </c>
      <c r="AD132" s="63">
        <f>($L132+SUM($W132:AB132))*(V$11*V132)</f>
        <v>0</v>
      </c>
      <c r="AE132" s="114">
        <f t="shared" si="134"/>
        <v>0.11393728695738865</v>
      </c>
    </row>
    <row r="133" spans="1:31" ht="12.75">
      <c r="A133" s="3">
        <v>6</v>
      </c>
      <c r="B133" s="15">
        <f t="shared" si="87"/>
        <v>41061</v>
      </c>
      <c r="C133" s="244">
        <f t="shared" si="139"/>
        <v>41095</v>
      </c>
      <c r="D133" s="244">
        <f t="shared" si="139"/>
        <v>41110</v>
      </c>
      <c r="E133" s="30" t="s">
        <v>139</v>
      </c>
      <c r="F133" s="3">
        <v>9</v>
      </c>
      <c r="G133" s="73">
        <v>11</v>
      </c>
      <c r="H133" s="249">
        <f t="shared" si="132"/>
        <v>1.45</v>
      </c>
      <c r="I133" s="249">
        <f t="shared" si="122"/>
        <v>1.93</v>
      </c>
      <c r="J133" s="56">
        <f t="shared" si="88"/>
        <v>21.23</v>
      </c>
      <c r="K133" s="57">
        <f t="shared" si="70"/>
        <v>15.95</v>
      </c>
      <c r="L133" s="79">
        <f t="shared" si="137"/>
        <v>5.280000000000001</v>
      </c>
      <c r="M133" s="80">
        <f t="shared" si="77"/>
        <v>0.16455116531237934</v>
      </c>
      <c r="N133" s="78">
        <f t="shared" si="138"/>
        <v>5.44455116531238</v>
      </c>
      <c r="O133" s="16">
        <f t="shared" si="133"/>
        <v>0</v>
      </c>
      <c r="P133" s="16">
        <f t="shared" si="133"/>
        <v>0</v>
      </c>
      <c r="Q133" s="16">
        <f t="shared" si="133"/>
        <v>73</v>
      </c>
      <c r="R133" s="16">
        <f t="shared" si="108"/>
        <v>92</v>
      </c>
      <c r="S133" s="16">
        <f t="shared" si="109"/>
        <v>90</v>
      </c>
      <c r="T133" s="16">
        <f t="shared" si="109"/>
        <v>91</v>
      </c>
      <c r="U133" s="16">
        <f t="shared" si="109"/>
        <v>0</v>
      </c>
      <c r="V133" s="110">
        <f t="shared" si="135"/>
        <v>0</v>
      </c>
      <c r="W133" s="154">
        <f t="shared" si="136"/>
        <v>0</v>
      </c>
      <c r="X133" s="63">
        <f>($L133+SUM($W133:W133))*(P$11*P133)</f>
        <v>0</v>
      </c>
      <c r="Y133" s="63">
        <f>($L133+SUM($W133:X133))*(Q$11*Q133)</f>
        <v>0.03432</v>
      </c>
      <c r="Z133" s="63">
        <f>($L133+SUM($W133:Y133))*(R$11*R133)</f>
        <v>0.043533744657534255</v>
      </c>
      <c r="AA133" s="63">
        <f>($L133+SUM($W133:Z133))*(S$11*S133)</f>
        <v>0.04293622521403641</v>
      </c>
      <c r="AB133" s="63">
        <f>($L133+SUM($W133:AA133))*(T$11*T133)</f>
        <v>0.0437611954408087</v>
      </c>
      <c r="AC133" s="63">
        <f>($L133+SUM($W133:AB133))*(U$11*U133)</f>
        <v>0</v>
      </c>
      <c r="AD133" s="63">
        <f>($L133+SUM($W133:AB133))*(V$11*V133)</f>
        <v>0</v>
      </c>
      <c r="AE133" s="114">
        <f t="shared" si="134"/>
        <v>0.16455116531237934</v>
      </c>
    </row>
    <row r="134" spans="1:31" ht="12.75">
      <c r="A134" s="16">
        <v>7</v>
      </c>
      <c r="B134" s="15">
        <f t="shared" si="87"/>
        <v>41091</v>
      </c>
      <c r="C134" s="244">
        <f t="shared" si="139"/>
        <v>41124</v>
      </c>
      <c r="D134" s="244">
        <f t="shared" si="139"/>
        <v>41141</v>
      </c>
      <c r="E134" s="30" t="s">
        <v>139</v>
      </c>
      <c r="F134" s="3">
        <v>9</v>
      </c>
      <c r="G134" s="73">
        <v>13</v>
      </c>
      <c r="H134" s="249">
        <f aca="true" t="shared" si="140" ref="H134:H139">$K$8</f>
        <v>1.14</v>
      </c>
      <c r="I134" s="249">
        <f aca="true" t="shared" si="141" ref="I134:I139">J$8</f>
        <v>1.93</v>
      </c>
      <c r="J134" s="56">
        <f t="shared" si="88"/>
        <v>25.09</v>
      </c>
      <c r="K134" s="57">
        <f t="shared" si="70"/>
        <v>14.819999999999999</v>
      </c>
      <c r="L134" s="79">
        <f t="shared" si="137"/>
        <v>10.270000000000001</v>
      </c>
      <c r="M134" s="77">
        <f t="shared" si="77"/>
        <v>0.29102178073232243</v>
      </c>
      <c r="N134" s="78">
        <f t="shared" si="138"/>
        <v>10.561021780732323</v>
      </c>
      <c r="O134" s="16">
        <f t="shared" si="133"/>
        <v>0</v>
      </c>
      <c r="P134" s="16">
        <f t="shared" si="133"/>
        <v>0</v>
      </c>
      <c r="Q134" s="16">
        <f t="shared" si="133"/>
        <v>42</v>
      </c>
      <c r="R134" s="16">
        <f t="shared" si="108"/>
        <v>92</v>
      </c>
      <c r="S134" s="16">
        <f t="shared" si="109"/>
        <v>90</v>
      </c>
      <c r="T134" s="16">
        <f t="shared" si="109"/>
        <v>91</v>
      </c>
      <c r="U134" s="16">
        <f t="shared" si="109"/>
        <v>0</v>
      </c>
      <c r="V134" s="110">
        <f t="shared" si="135"/>
        <v>0</v>
      </c>
      <c r="W134" s="154">
        <f t="shared" si="136"/>
        <v>0</v>
      </c>
      <c r="X134" s="63">
        <f>($L134+SUM($W134:W134))*(P$11*P134)</f>
        <v>0</v>
      </c>
      <c r="Y134" s="63">
        <f>($L134+SUM($W134:X134))*(Q$11*Q134)</f>
        <v>0.03840698630136987</v>
      </c>
      <c r="Z134" s="63">
        <f>($L134+SUM($W134:Y134))*(R$11*R134)</f>
        <v>0.0844442106549071</v>
      </c>
      <c r="AA134" s="63">
        <f>($L134+SUM($W134:Z134))*(S$11*S134)</f>
        <v>0.08328517740026607</v>
      </c>
      <c r="AB134" s="63">
        <f>($L134+SUM($W134:AA134))*(T$11*T134)</f>
        <v>0.0848854063757794</v>
      </c>
      <c r="AC134" s="63">
        <f>($L134+SUM($W134:AB134))*(U$11*U134)</f>
        <v>0</v>
      </c>
      <c r="AD134" s="63">
        <f>($L134+SUM($W134:AB134))*(V$11*V134)</f>
        <v>0</v>
      </c>
      <c r="AE134" s="114">
        <f aca="true" t="shared" si="142" ref="AE134:AE139">SUM(W134:AD134)</f>
        <v>0.29102178073232243</v>
      </c>
    </row>
    <row r="135" spans="1:31" ht="12.75">
      <c r="A135" s="3">
        <v>8</v>
      </c>
      <c r="B135" s="15">
        <f t="shared" si="87"/>
        <v>41122</v>
      </c>
      <c r="C135" s="244">
        <f t="shared" si="139"/>
        <v>41158</v>
      </c>
      <c r="D135" s="244">
        <f t="shared" si="139"/>
        <v>41173</v>
      </c>
      <c r="E135" s="30" t="s">
        <v>139</v>
      </c>
      <c r="F135" s="3">
        <v>9</v>
      </c>
      <c r="G135" s="73">
        <v>13</v>
      </c>
      <c r="H135" s="249">
        <f t="shared" si="140"/>
        <v>1.14</v>
      </c>
      <c r="I135" s="249">
        <f t="shared" si="141"/>
        <v>1.93</v>
      </c>
      <c r="J135" s="56">
        <f t="shared" si="88"/>
        <v>25.09</v>
      </c>
      <c r="K135" s="57">
        <f>+$G135*H135</f>
        <v>14.819999999999999</v>
      </c>
      <c r="L135" s="79">
        <f t="shared" si="137"/>
        <v>10.270000000000001</v>
      </c>
      <c r="M135" s="77">
        <f t="shared" si="77"/>
        <v>0.26104221758638435</v>
      </c>
      <c r="N135" s="78">
        <f t="shared" si="138"/>
        <v>10.531042217586386</v>
      </c>
      <c r="O135" s="16">
        <f t="shared" si="133"/>
        <v>0</v>
      </c>
      <c r="P135" s="16">
        <f t="shared" si="133"/>
        <v>0</v>
      </c>
      <c r="Q135" s="16">
        <f t="shared" si="133"/>
        <v>10</v>
      </c>
      <c r="R135" s="16">
        <f t="shared" si="108"/>
        <v>92</v>
      </c>
      <c r="S135" s="16">
        <f t="shared" si="109"/>
        <v>90</v>
      </c>
      <c r="T135" s="16">
        <f t="shared" si="109"/>
        <v>91</v>
      </c>
      <c r="U135" s="16">
        <f t="shared" si="109"/>
        <v>0</v>
      </c>
      <c r="V135" s="110">
        <f t="shared" si="135"/>
        <v>0</v>
      </c>
      <c r="W135" s="154">
        <f t="shared" si="136"/>
        <v>0</v>
      </c>
      <c r="X135" s="63">
        <f>($L135+SUM($W135:W135))*(P$11*P135)</f>
        <v>0</v>
      </c>
      <c r="Y135" s="63">
        <f>($L135+SUM($W135:X135))*(Q$11*Q135)</f>
        <v>0.009144520547945206</v>
      </c>
      <c r="Z135" s="63">
        <f>($L135+SUM($W135:Y135))*(R$11*R135)</f>
        <v>0.08420449894914618</v>
      </c>
      <c r="AA135" s="63">
        <f>($L135+SUM($W135:Z135))*(S$11*S135)</f>
        <v>0.08304875584117533</v>
      </c>
      <c r="AB135" s="63">
        <f>($L135+SUM($W135:AA135))*(T$11*T135)</f>
        <v>0.08464444224811761</v>
      </c>
      <c r="AC135" s="63">
        <f>($L135+SUM($W135:AB135))*(U$11*U135)</f>
        <v>0</v>
      </c>
      <c r="AD135" s="63">
        <f>($L135+SUM($W135:AB135))*(V$11*V135)</f>
        <v>0</v>
      </c>
      <c r="AE135" s="114">
        <f t="shared" si="142"/>
        <v>0.26104221758638435</v>
      </c>
    </row>
    <row r="136" spans="1:31" ht="12.75">
      <c r="A136" s="3">
        <v>9</v>
      </c>
      <c r="B136" s="15">
        <f t="shared" si="87"/>
        <v>41153</v>
      </c>
      <c r="C136" s="244">
        <f t="shared" si="139"/>
        <v>41185</v>
      </c>
      <c r="D136" s="244">
        <f t="shared" si="139"/>
        <v>41200</v>
      </c>
      <c r="E136" s="30" t="s">
        <v>139</v>
      </c>
      <c r="F136" s="3">
        <v>9</v>
      </c>
      <c r="G136" s="73">
        <v>11</v>
      </c>
      <c r="H136" s="249">
        <f t="shared" si="140"/>
        <v>1.14</v>
      </c>
      <c r="I136" s="249">
        <f t="shared" si="141"/>
        <v>1.93</v>
      </c>
      <c r="J136" s="56">
        <f t="shared" si="88"/>
        <v>21.23</v>
      </c>
      <c r="K136" s="57">
        <f>+$G136*H136</f>
        <v>12.54</v>
      </c>
      <c r="L136" s="79">
        <f t="shared" si="137"/>
        <v>8.690000000000001</v>
      </c>
      <c r="M136" s="77">
        <f t="shared" si="77"/>
        <v>0.19958769656882044</v>
      </c>
      <c r="N136" s="78">
        <f t="shared" si="138"/>
        <v>8.889587696568821</v>
      </c>
      <c r="O136" s="16">
        <f t="shared" si="133"/>
        <v>0</v>
      </c>
      <c r="P136" s="16">
        <f t="shared" si="133"/>
        <v>0</v>
      </c>
      <c r="Q136" s="16">
        <f t="shared" si="133"/>
        <v>0</v>
      </c>
      <c r="R136" s="16">
        <f t="shared" si="108"/>
        <v>75</v>
      </c>
      <c r="S136" s="16">
        <f t="shared" si="109"/>
        <v>90</v>
      </c>
      <c r="T136" s="16">
        <f t="shared" si="109"/>
        <v>91</v>
      </c>
      <c r="U136" s="16">
        <f t="shared" si="109"/>
        <v>0</v>
      </c>
      <c r="V136" s="110">
        <f t="shared" si="135"/>
        <v>0</v>
      </c>
      <c r="W136" s="154">
        <f t="shared" si="13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0.058032534246575354</v>
      </c>
      <c r="AA136" s="63">
        <f>($L136+SUM($W136:Z136))*(S$11*S136)</f>
        <v>0.07010409633608557</v>
      </c>
      <c r="AB136" s="63">
        <f>($L136+SUM($W136:AA136))*(T$11*T136)</f>
        <v>0.07145106598615952</v>
      </c>
      <c r="AC136" s="63">
        <f>($L136+SUM($W136:AB136))*(U$11*U136)</f>
        <v>0</v>
      </c>
      <c r="AD136" s="63">
        <f>($L136+SUM($W136:AB136))*(V$11*V136)</f>
        <v>0</v>
      </c>
      <c r="AE136" s="114">
        <f t="shared" si="142"/>
        <v>0.19958769656882044</v>
      </c>
    </row>
    <row r="137" spans="1:31" ht="12.75">
      <c r="A137" s="16">
        <v>10</v>
      </c>
      <c r="B137" s="15">
        <f t="shared" si="87"/>
        <v>41183</v>
      </c>
      <c r="C137" s="244">
        <f t="shared" si="139"/>
        <v>41218</v>
      </c>
      <c r="D137" s="244">
        <f t="shared" si="139"/>
        <v>41233</v>
      </c>
      <c r="E137" s="30" t="s">
        <v>139</v>
      </c>
      <c r="F137" s="3">
        <v>9</v>
      </c>
      <c r="G137" s="73">
        <v>5</v>
      </c>
      <c r="H137" s="249">
        <f t="shared" si="140"/>
        <v>1.14</v>
      </c>
      <c r="I137" s="249">
        <f t="shared" si="141"/>
        <v>1.93</v>
      </c>
      <c r="J137" s="56">
        <f t="shared" si="88"/>
        <v>9.65</v>
      </c>
      <c r="K137" s="57">
        <f>+$G137*H137</f>
        <v>5.699999999999999</v>
      </c>
      <c r="L137" s="79">
        <f t="shared" si="137"/>
        <v>3.950000000000001</v>
      </c>
      <c r="M137" s="77">
        <f t="shared" si="77"/>
        <v>0.0789273642127584</v>
      </c>
      <c r="N137" s="78">
        <f t="shared" si="138"/>
        <v>4.02892736421276</v>
      </c>
      <c r="O137" s="16">
        <f t="shared" si="133"/>
        <v>0</v>
      </c>
      <c r="P137" s="16">
        <f t="shared" si="133"/>
        <v>0</v>
      </c>
      <c r="Q137" s="16">
        <f t="shared" si="133"/>
        <v>0</v>
      </c>
      <c r="R137" s="16">
        <f t="shared" si="108"/>
        <v>42</v>
      </c>
      <c r="S137" s="16">
        <f t="shared" si="109"/>
        <v>90</v>
      </c>
      <c r="T137" s="16">
        <f t="shared" si="109"/>
        <v>91</v>
      </c>
      <c r="U137" s="16">
        <f t="shared" si="109"/>
        <v>0</v>
      </c>
      <c r="V137" s="110">
        <f t="shared" si="135"/>
        <v>0</v>
      </c>
      <c r="W137" s="154">
        <f t="shared" si="13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0.014771917808219182</v>
      </c>
      <c r="AA137" s="63">
        <f>($L137+SUM($W137:Z137))*(S$11*S137)</f>
        <v>0.031772487286545324</v>
      </c>
      <c r="AB137" s="63">
        <f>($L137+SUM($W137:AA137))*(T$11*T137)</f>
        <v>0.03238295911799389</v>
      </c>
      <c r="AC137" s="63">
        <f>($L137+SUM($W137:AB137))*(U$11*U137)</f>
        <v>0</v>
      </c>
      <c r="AD137" s="63">
        <f>($L137+SUM($W137:AB137))*(V$11*V137)</f>
        <v>0</v>
      </c>
      <c r="AE137" s="114">
        <f t="shared" si="142"/>
        <v>0.0789273642127584</v>
      </c>
    </row>
    <row r="138" spans="1:31" ht="12.75">
      <c r="A138" s="3">
        <v>11</v>
      </c>
      <c r="B138" s="15">
        <f t="shared" si="87"/>
        <v>41214</v>
      </c>
      <c r="C138" s="244">
        <f t="shared" si="139"/>
        <v>41248</v>
      </c>
      <c r="D138" s="244">
        <f t="shared" si="139"/>
        <v>41263</v>
      </c>
      <c r="E138" s="30" t="s">
        <v>139</v>
      </c>
      <c r="F138" s="3">
        <v>9</v>
      </c>
      <c r="G138" s="73">
        <v>7</v>
      </c>
      <c r="H138" s="249">
        <f t="shared" si="140"/>
        <v>1.14</v>
      </c>
      <c r="I138" s="249">
        <f t="shared" si="141"/>
        <v>1.93</v>
      </c>
      <c r="J138" s="56">
        <f t="shared" si="88"/>
        <v>13.51</v>
      </c>
      <c r="K138" s="57">
        <f>+$G138*H138</f>
        <v>7.9799999999999995</v>
      </c>
      <c r="L138" s="79">
        <f t="shared" si="137"/>
        <v>5.53</v>
      </c>
      <c r="M138" s="77">
        <f aca="true" t="shared" si="143" ref="M138:M199">+AE138</f>
        <v>0.09548736220321181</v>
      </c>
      <c r="N138" s="78">
        <f t="shared" si="138"/>
        <v>5.625487362203212</v>
      </c>
      <c r="O138" s="16">
        <f t="shared" si="133"/>
        <v>0</v>
      </c>
      <c r="P138" s="16">
        <f t="shared" si="133"/>
        <v>0</v>
      </c>
      <c r="Q138" s="16">
        <f t="shared" si="133"/>
        <v>0</v>
      </c>
      <c r="R138" s="16">
        <f aca="true" t="shared" si="144" ref="R138:U139">IF($D138&lt;R$8,R$12,IF($D138&lt;S$8,S$8-$D138,0))</f>
        <v>12</v>
      </c>
      <c r="S138" s="16">
        <f t="shared" si="144"/>
        <v>90</v>
      </c>
      <c r="T138" s="16">
        <f t="shared" si="144"/>
        <v>91</v>
      </c>
      <c r="U138" s="16">
        <f t="shared" si="144"/>
        <v>0</v>
      </c>
      <c r="V138" s="110">
        <f t="shared" si="135"/>
        <v>0</v>
      </c>
      <c r="W138" s="154">
        <f t="shared" si="13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0.005908767123287671</v>
      </c>
      <c r="AA138" s="63">
        <f>($L138+SUM($W138:Z138))*(S$11*S138)</f>
        <v>0.04436310450365922</v>
      </c>
      <c r="AB138" s="63">
        <f>($L138+SUM($W138:AA138))*(T$11*T138)</f>
        <v>0.04521549057626492</v>
      </c>
      <c r="AC138" s="63">
        <f>($L138+SUM($W138:AB138))*(U$11*U138)</f>
        <v>0</v>
      </c>
      <c r="AD138" s="63">
        <f>($L138+SUM($W138:AB138))*(V$11*V138)</f>
        <v>0</v>
      </c>
      <c r="AE138" s="114">
        <f t="shared" si="142"/>
        <v>0.09548736220321181</v>
      </c>
    </row>
    <row r="139" spans="1:31" s="70" customFormat="1" ht="12.75">
      <c r="A139" s="3">
        <v>12</v>
      </c>
      <c r="B139" s="86">
        <f t="shared" si="87"/>
        <v>41244</v>
      </c>
      <c r="C139" s="244">
        <f t="shared" si="139"/>
        <v>41278</v>
      </c>
      <c r="D139" s="244">
        <f t="shared" si="139"/>
        <v>41295</v>
      </c>
      <c r="E139" s="87" t="s">
        <v>139</v>
      </c>
      <c r="F139" s="83">
        <v>9</v>
      </c>
      <c r="G139" s="88">
        <v>6</v>
      </c>
      <c r="H139" s="250">
        <f t="shared" si="140"/>
        <v>1.14</v>
      </c>
      <c r="I139" s="250">
        <f t="shared" si="141"/>
        <v>1.93</v>
      </c>
      <c r="J139" s="89">
        <f t="shared" si="88"/>
        <v>11.58</v>
      </c>
      <c r="K139" s="308">
        <f>+$G139*H139</f>
        <v>6.84</v>
      </c>
      <c r="L139" s="91">
        <f t="shared" si="137"/>
        <v>4.74</v>
      </c>
      <c r="M139" s="92">
        <f t="shared" si="143"/>
        <v>0.06819020792831676</v>
      </c>
      <c r="N139" s="93">
        <f t="shared" si="138"/>
        <v>4.808190207928317</v>
      </c>
      <c r="O139" s="83">
        <f t="shared" si="133"/>
        <v>0</v>
      </c>
      <c r="P139" s="83">
        <f t="shared" si="133"/>
        <v>0</v>
      </c>
      <c r="Q139" s="83">
        <f t="shared" si="133"/>
        <v>0</v>
      </c>
      <c r="R139" s="83">
        <f t="shared" si="144"/>
        <v>0</v>
      </c>
      <c r="S139" s="83">
        <f t="shared" si="144"/>
        <v>70</v>
      </c>
      <c r="T139" s="83">
        <f t="shared" si="144"/>
        <v>91</v>
      </c>
      <c r="U139" s="83">
        <f t="shared" si="144"/>
        <v>0</v>
      </c>
      <c r="V139" s="111">
        <f t="shared" si="135"/>
        <v>0</v>
      </c>
      <c r="W139" s="155">
        <f t="shared" si="136"/>
        <v>0</v>
      </c>
      <c r="X139" s="94">
        <f>($L139+SUM($W139:W139))*(P$11*P139)</f>
        <v>0</v>
      </c>
      <c r="Y139" s="94">
        <f>($L139+SUM($W139:X139))*(Q$11*Q139)</f>
        <v>0</v>
      </c>
      <c r="Z139" s="94">
        <f>($L139+SUM($W139:Y139))*(R$11*R139)</f>
        <v>0</v>
      </c>
      <c r="AA139" s="94">
        <f>($L139+SUM($W139:Z139))*(S$11*S139)</f>
        <v>0.029543835616438356</v>
      </c>
      <c r="AB139" s="94">
        <f>($L139+SUM($W139:AA139))*(T$11*T139)</f>
        <v>0.0386463723118784</v>
      </c>
      <c r="AC139" s="94">
        <f>($L139+SUM($W139:AB139))*(U$11*U139)</f>
        <v>0</v>
      </c>
      <c r="AD139" s="94">
        <f>($L139+SUM($W139:AB139))*(V$11*V139)</f>
        <v>0</v>
      </c>
      <c r="AE139" s="115">
        <f t="shared" si="142"/>
        <v>0.06819020792831676</v>
      </c>
    </row>
    <row r="140" spans="1:31" ht="12.75">
      <c r="A140" s="16">
        <v>1</v>
      </c>
      <c r="B140" s="15">
        <f t="shared" si="87"/>
        <v>40909</v>
      </c>
      <c r="C140" s="243">
        <f t="shared" si="139"/>
        <v>40942</v>
      </c>
      <c r="D140" s="243">
        <f t="shared" si="139"/>
        <v>40959</v>
      </c>
      <c r="E140" s="121" t="s">
        <v>140</v>
      </c>
      <c r="F140" s="3">
        <v>9</v>
      </c>
      <c r="G140" s="73">
        <v>1</v>
      </c>
      <c r="H140" s="249">
        <f aca="true" t="shared" si="145" ref="H140:H145">$K$3</f>
        <v>1.45</v>
      </c>
      <c r="I140" s="249">
        <f aca="true" t="shared" si="146" ref="I140:I157">$J$3</f>
        <v>1.93</v>
      </c>
      <c r="J140" s="56">
        <f t="shared" si="88"/>
        <v>1.93</v>
      </c>
      <c r="K140" s="57">
        <f aca="true" t="shared" si="147" ref="K140:K151">+$G140*H140</f>
        <v>1.45</v>
      </c>
      <c r="L140" s="58">
        <f t="shared" si="137"/>
        <v>0.48</v>
      </c>
      <c r="M140" s="55">
        <f t="shared" si="143"/>
        <v>0.02163306133869547</v>
      </c>
      <c r="N140" s="29">
        <f t="shared" si="138"/>
        <v>0.5016330613386955</v>
      </c>
      <c r="O140" s="16">
        <f aca="true" t="shared" si="148" ref="O140:O154">IF($D140&lt;O$8,O$12,IF($D140&lt;P$8,P$8-$D140,0))</f>
        <v>41</v>
      </c>
      <c r="P140" s="16">
        <f aca="true" t="shared" si="149" ref="P140:P154">IF($D140&lt;P$8,P$12,IF($D140&lt;Q$8,Q$8-$D140,0))</f>
        <v>91</v>
      </c>
      <c r="Q140" s="16">
        <f aca="true" t="shared" si="150" ref="Q140:Q154">IF($D140&lt;Q$8,Q$12,IF($D140&lt;R$8,R$8-$D140,0))</f>
        <v>92</v>
      </c>
      <c r="R140" s="16">
        <f aca="true" t="shared" si="151" ref="R140:R154">IF($D140&lt;R$8,R$12,IF($D140&lt;S$8,S$8-$D140,0))</f>
        <v>92</v>
      </c>
      <c r="S140" s="16">
        <f aca="true" t="shared" si="152" ref="S140:U141">IF($D140&lt;S$8,S$12,IF($D140&lt;T$8,T$8-$D140,0))</f>
        <v>90</v>
      </c>
      <c r="T140" s="16">
        <f t="shared" si="152"/>
        <v>91</v>
      </c>
      <c r="U140" s="16">
        <f t="shared" si="152"/>
        <v>0</v>
      </c>
      <c r="V140" s="110">
        <f t="shared" si="135"/>
        <v>0</v>
      </c>
      <c r="W140" s="154">
        <f t="shared" si="136"/>
        <v>0.0017523287671232877</v>
      </c>
      <c r="X140" s="63">
        <f>($L140+SUM($W140:W140))*(P$11*P140)</f>
        <v>0.003903513732407581</v>
      </c>
      <c r="Y140" s="63">
        <f>($L140+SUM($W140:X140))*(Q$11*Q140)</f>
        <v>0.003978386216639992</v>
      </c>
      <c r="Z140" s="63">
        <f>($L140+SUM($W140:Y140))*(R$11*R140)</f>
        <v>0.0040109762845516456</v>
      </c>
      <c r="AA140" s="63">
        <f>($L140+SUM($W140:Z140))*(S$11*S140)</f>
        <v>0.003955923903087981</v>
      </c>
      <c r="AB140" s="63">
        <f>($L140+SUM($W140:AA140))*(T$11*T140)</f>
        <v>0.004031932434884985</v>
      </c>
      <c r="AC140" s="63">
        <f>($L140+SUM($W140:AB140))*(U$11*U140)</f>
        <v>0</v>
      </c>
      <c r="AD140" s="63">
        <f>($L140+SUM($W140:AB140))*(V$11*V140)</f>
        <v>0</v>
      </c>
      <c r="AE140" s="114">
        <f>SUM(W140:AD140)</f>
        <v>0.02163306133869547</v>
      </c>
    </row>
    <row r="141" spans="1:31" ht="12.75">
      <c r="A141" s="3">
        <v>2</v>
      </c>
      <c r="B141" s="15">
        <f t="shared" si="87"/>
        <v>40940</v>
      </c>
      <c r="C141" s="244">
        <f t="shared" si="139"/>
        <v>40973</v>
      </c>
      <c r="D141" s="244">
        <f t="shared" si="139"/>
        <v>40988</v>
      </c>
      <c r="E141" s="30" t="s">
        <v>140</v>
      </c>
      <c r="F141" s="3">
        <v>9</v>
      </c>
      <c r="G141" s="73">
        <v>1</v>
      </c>
      <c r="H141" s="249">
        <f t="shared" si="145"/>
        <v>1.45</v>
      </c>
      <c r="I141" s="249">
        <f t="shared" si="146"/>
        <v>1.93</v>
      </c>
      <c r="J141" s="56">
        <f t="shared" si="88"/>
        <v>1.93</v>
      </c>
      <c r="K141" s="57">
        <f t="shared" si="147"/>
        <v>1.45</v>
      </c>
      <c r="L141" s="58">
        <f t="shared" si="137"/>
        <v>0.48</v>
      </c>
      <c r="M141" s="55">
        <f t="shared" si="143"/>
        <v>0.020342460149033837</v>
      </c>
      <c r="N141" s="29">
        <f t="shared" si="138"/>
        <v>0.5003424601490338</v>
      </c>
      <c r="O141" s="16">
        <f t="shared" si="148"/>
        <v>12</v>
      </c>
      <c r="P141" s="16">
        <f t="shared" si="149"/>
        <v>91</v>
      </c>
      <c r="Q141" s="16">
        <f t="shared" si="150"/>
        <v>92</v>
      </c>
      <c r="R141" s="16">
        <f t="shared" si="151"/>
        <v>92</v>
      </c>
      <c r="S141" s="16">
        <f t="shared" si="152"/>
        <v>90</v>
      </c>
      <c r="T141" s="16">
        <f t="shared" si="152"/>
        <v>91</v>
      </c>
      <c r="U141" s="16">
        <f t="shared" si="152"/>
        <v>0</v>
      </c>
      <c r="V141" s="110">
        <f t="shared" si="135"/>
        <v>0</v>
      </c>
      <c r="W141" s="154">
        <f t="shared" si="136"/>
        <v>0.0005128767123287672</v>
      </c>
      <c r="X141" s="63">
        <f>($L141+SUM($W141:W141))*(P$11*P141)</f>
        <v>0.003893470775004691</v>
      </c>
      <c r="Y141" s="63">
        <f>($L141+SUM($W141:X141))*(Q$11*Q141)</f>
        <v>0.0039681506273619915</v>
      </c>
      <c r="Z141" s="63">
        <f>($L141+SUM($W141:Y141))*(R$11*R141)</f>
        <v>0.004000656847569696</v>
      </c>
      <c r="AA141" s="63">
        <f>($L141+SUM($W141:Z141))*(S$11*S141)</f>
        <v>0.00394574610483459</v>
      </c>
      <c r="AB141" s="63">
        <f>($L141+SUM($W141:AA141))*(T$11*T141)</f>
        <v>0.004021559081934103</v>
      </c>
      <c r="AC141" s="63">
        <f>($L141+SUM($W141:AB141))*(U$11*U141)</f>
        <v>0</v>
      </c>
      <c r="AD141" s="63">
        <f>($L141+SUM($W141:AB141))*(V$11*V141)</f>
        <v>0</v>
      </c>
      <c r="AE141" s="114">
        <f>SUM(W141:AD141)</f>
        <v>0.020342460149033837</v>
      </c>
    </row>
    <row r="142" spans="1:31" ht="12.75">
      <c r="A142" s="3">
        <v>3</v>
      </c>
      <c r="B142" s="15">
        <f t="shared" si="87"/>
        <v>40969</v>
      </c>
      <c r="C142" s="244">
        <f t="shared" si="139"/>
        <v>41003</v>
      </c>
      <c r="D142" s="244">
        <f t="shared" si="139"/>
        <v>41018</v>
      </c>
      <c r="E142" s="30" t="s">
        <v>140</v>
      </c>
      <c r="F142" s="3">
        <v>9</v>
      </c>
      <c r="G142" s="73">
        <v>2</v>
      </c>
      <c r="H142" s="249">
        <f t="shared" si="145"/>
        <v>1.45</v>
      </c>
      <c r="I142" s="249">
        <f t="shared" si="146"/>
        <v>1.93</v>
      </c>
      <c r="J142" s="56">
        <f t="shared" si="88"/>
        <v>3.86</v>
      </c>
      <c r="K142" s="57">
        <f t="shared" si="147"/>
        <v>2.9</v>
      </c>
      <c r="L142" s="58">
        <f>+J142-K142</f>
        <v>0.96</v>
      </c>
      <c r="M142" s="55">
        <f t="shared" si="143"/>
        <v>0.03802758820587919</v>
      </c>
      <c r="N142" s="29">
        <f>SUM(L142:M142)</f>
        <v>0.9980275882058791</v>
      </c>
      <c r="O142" s="16">
        <f aca="true" t="shared" si="153" ref="O142:O149">IF($D142&lt;O$8,O$12,IF($D142&lt;P$8,P$8-$D142,0))</f>
        <v>0</v>
      </c>
      <c r="P142" s="16">
        <f aca="true" t="shared" si="154" ref="P142:P149">IF($D142&lt;P$8,P$12,IF($D142&lt;Q$8,Q$8-$D142,0))</f>
        <v>73</v>
      </c>
      <c r="Q142" s="16">
        <f aca="true" t="shared" si="155" ref="Q142:Q149">IF($D142&lt;Q$8,Q$12,IF($D142&lt;R$8,R$8-$D142,0))</f>
        <v>92</v>
      </c>
      <c r="R142" s="16">
        <f aca="true" t="shared" si="156" ref="R142:R149">IF($D142&lt;R$8,R$12,IF($D142&lt;S$8,S$8-$D142,0))</f>
        <v>92</v>
      </c>
      <c r="S142" s="16">
        <f aca="true" t="shared" si="157" ref="S142:U149">IF($D142&lt;S$8,S$12,IF($D142&lt;T$8,T$8-$D142,0))</f>
        <v>90</v>
      </c>
      <c r="T142" s="16">
        <f t="shared" si="157"/>
        <v>91</v>
      </c>
      <c r="U142" s="16">
        <f t="shared" si="157"/>
        <v>0</v>
      </c>
      <c r="V142" s="110">
        <f aca="true" t="shared" si="158" ref="V142:V149">IF(W$8&lt;V$8,0,IF($D142&lt;V$8,V$12,IF($D142&lt;W$8,W$8-$D142,0)))</f>
        <v>0</v>
      </c>
      <c r="W142" s="154">
        <f aca="true" t="shared" si="159" ref="W142:W149">$L142*O$11*O142</f>
        <v>0</v>
      </c>
      <c r="X142" s="63">
        <f>($L142+SUM($W142:W142))*(P$11*P142)</f>
        <v>0.00624</v>
      </c>
      <c r="Y142" s="63">
        <f>($L142+SUM($W142:X142))*(Q$11*Q142)</f>
        <v>0.007915226301369862</v>
      </c>
      <c r="Z142" s="63">
        <f>($L142+SUM($W142:Y142))*(R$11*R142)</f>
        <v>0.007980066100386563</v>
      </c>
      <c r="AA142" s="63">
        <f>($L142+SUM($W142:Z142))*(S$11*S142)</f>
        <v>0.007870536247329142</v>
      </c>
      <c r="AB142" s="63">
        <f>($L142+SUM($W142:AA142))*(T$11*T142)</f>
        <v>0.008021759556793618</v>
      </c>
      <c r="AC142" s="63">
        <f>($L142+SUM($W142:AB142))*(U$11*U142)</f>
        <v>0</v>
      </c>
      <c r="AD142" s="63">
        <f>($L142+SUM($W142:AB142))*(V$11*V142)</f>
        <v>0</v>
      </c>
      <c r="AE142" s="114">
        <f aca="true" t="shared" si="160" ref="AE142:AE149">SUM(W142:AD142)</f>
        <v>0.03802758820587919</v>
      </c>
    </row>
    <row r="143" spans="1:31" ht="12.75">
      <c r="A143" s="16">
        <v>4</v>
      </c>
      <c r="B143" s="15">
        <f t="shared" si="87"/>
        <v>41000</v>
      </c>
      <c r="C143" s="244">
        <f t="shared" si="139"/>
        <v>41032</v>
      </c>
      <c r="D143" s="244">
        <f t="shared" si="139"/>
        <v>41047</v>
      </c>
      <c r="E143" s="30" t="s">
        <v>140</v>
      </c>
      <c r="F143" s="3">
        <v>9</v>
      </c>
      <c r="G143" s="73">
        <v>1</v>
      </c>
      <c r="H143" s="249">
        <f t="shared" si="145"/>
        <v>1.45</v>
      </c>
      <c r="I143" s="249">
        <f t="shared" si="146"/>
        <v>1.93</v>
      </c>
      <c r="J143" s="56">
        <f t="shared" si="88"/>
        <v>1.93</v>
      </c>
      <c r="K143" s="57">
        <f t="shared" si="147"/>
        <v>1.45</v>
      </c>
      <c r="L143" s="58">
        <f aca="true" t="shared" si="161" ref="L143:L153">+J143-K143</f>
        <v>0.48</v>
      </c>
      <c r="M143" s="55">
        <f t="shared" si="143"/>
        <v>0.017733566266228844</v>
      </c>
      <c r="N143" s="29">
        <f aca="true" t="shared" si="162" ref="N143:N153">SUM(L143:M143)</f>
        <v>0.49773356626622883</v>
      </c>
      <c r="O143" s="16">
        <f t="shared" si="153"/>
        <v>0</v>
      </c>
      <c r="P143" s="16">
        <f t="shared" si="154"/>
        <v>44</v>
      </c>
      <c r="Q143" s="16">
        <f t="shared" si="155"/>
        <v>92</v>
      </c>
      <c r="R143" s="16">
        <f t="shared" si="156"/>
        <v>92</v>
      </c>
      <c r="S143" s="16">
        <f t="shared" si="157"/>
        <v>90</v>
      </c>
      <c r="T143" s="16">
        <f t="shared" si="157"/>
        <v>91</v>
      </c>
      <c r="U143" s="16">
        <f t="shared" si="157"/>
        <v>0</v>
      </c>
      <c r="V143" s="110">
        <f t="shared" si="158"/>
        <v>0</v>
      </c>
      <c r="W143" s="154">
        <f t="shared" si="159"/>
        <v>0</v>
      </c>
      <c r="X143" s="63">
        <f>($L143+SUM($W143:W143))*(P$11*P143)</f>
        <v>0.0018805479452054792</v>
      </c>
      <c r="Y143" s="63">
        <f>($L143+SUM($W143:X143))*(Q$11*Q143)</f>
        <v>0.003947459831112779</v>
      </c>
      <c r="Z143" s="63">
        <f>($L143+SUM($W143:Y143))*(R$11*R143)</f>
        <v>0.0039797965568525795</v>
      </c>
      <c r="AA143" s="63">
        <f>($L143+SUM($W143:Z143))*(S$11*S143)</f>
        <v>0.003925172130615136</v>
      </c>
      <c r="AB143" s="63">
        <f>($L143+SUM($W143:AA143))*(T$11*T143)</f>
        <v>0.004000589802442868</v>
      </c>
      <c r="AC143" s="63">
        <f>($L143+SUM($W143:AB143))*(U$11*U143)</f>
        <v>0</v>
      </c>
      <c r="AD143" s="63">
        <f>($L143+SUM($W143:AB143))*(V$11*V143)</f>
        <v>0</v>
      </c>
      <c r="AE143" s="114">
        <f t="shared" si="160"/>
        <v>0.017733566266228844</v>
      </c>
    </row>
    <row r="144" spans="1:31" ht="12.75">
      <c r="A144" s="3">
        <v>5</v>
      </c>
      <c r="B144" s="15">
        <f t="shared" si="87"/>
        <v>41030</v>
      </c>
      <c r="C144" s="244">
        <f t="shared" si="139"/>
        <v>41065</v>
      </c>
      <c r="D144" s="244">
        <f t="shared" si="139"/>
        <v>41080</v>
      </c>
      <c r="E144" s="30" t="s">
        <v>140</v>
      </c>
      <c r="F144" s="3">
        <v>9</v>
      </c>
      <c r="G144" s="73">
        <v>3</v>
      </c>
      <c r="H144" s="249">
        <f t="shared" si="145"/>
        <v>1.45</v>
      </c>
      <c r="I144" s="249">
        <f t="shared" si="146"/>
        <v>1.93</v>
      </c>
      <c r="J144" s="56">
        <f t="shared" si="88"/>
        <v>5.79</v>
      </c>
      <c r="K144" s="57">
        <f t="shared" si="147"/>
        <v>4.35</v>
      </c>
      <c r="L144" s="58">
        <f t="shared" si="161"/>
        <v>1.4400000000000004</v>
      </c>
      <c r="M144" s="55">
        <f t="shared" si="143"/>
        <v>0.048830265838880865</v>
      </c>
      <c r="N144" s="29">
        <f t="shared" si="162"/>
        <v>1.4888302658388812</v>
      </c>
      <c r="O144" s="16">
        <f t="shared" si="153"/>
        <v>0</v>
      </c>
      <c r="P144" s="16">
        <f t="shared" si="154"/>
        <v>11</v>
      </c>
      <c r="Q144" s="16">
        <f t="shared" si="155"/>
        <v>92</v>
      </c>
      <c r="R144" s="16">
        <f t="shared" si="156"/>
        <v>92</v>
      </c>
      <c r="S144" s="16">
        <f t="shared" si="157"/>
        <v>90</v>
      </c>
      <c r="T144" s="16">
        <f t="shared" si="157"/>
        <v>91</v>
      </c>
      <c r="U144" s="16">
        <f t="shared" si="157"/>
        <v>0</v>
      </c>
      <c r="V144" s="110">
        <f t="shared" si="158"/>
        <v>0</v>
      </c>
      <c r="W144" s="154">
        <f t="shared" si="159"/>
        <v>0</v>
      </c>
      <c r="X144" s="63">
        <f>($L144+SUM($W144:W144))*(P$11*P144)</f>
        <v>0.00141041095890411</v>
      </c>
      <c r="Y144" s="63">
        <f>($L144+SUM($W144:X144))*(Q$11*Q144)</f>
        <v>0.01180771816100582</v>
      </c>
      <c r="Z144" s="63">
        <f>($L144+SUM($W144:Y144))*(R$11*R144)</f>
        <v>0.011904444400187756</v>
      </c>
      <c r="AA144" s="63">
        <f>($L144+SUM($W144:Z144))*(S$11*S144)</f>
        <v>0.011741050760400785</v>
      </c>
      <c r="AB144" s="63">
        <f>($L144+SUM($W144:AA144))*(T$11*T144)</f>
        <v>0.0119666415583824</v>
      </c>
      <c r="AC144" s="63">
        <f>($L144+SUM($W144:AB144))*(U$11*U144)</f>
        <v>0</v>
      </c>
      <c r="AD144" s="63">
        <f>($L144+SUM($W144:AB144))*(V$11*V144)</f>
        <v>0</v>
      </c>
      <c r="AE144" s="114">
        <f t="shared" si="160"/>
        <v>0.048830265838880865</v>
      </c>
    </row>
    <row r="145" spans="1:31" ht="12.75">
      <c r="A145" s="3">
        <v>6</v>
      </c>
      <c r="B145" s="15">
        <f t="shared" si="87"/>
        <v>41061</v>
      </c>
      <c r="C145" s="244">
        <f t="shared" si="139"/>
        <v>41095</v>
      </c>
      <c r="D145" s="244">
        <f t="shared" si="139"/>
        <v>41110</v>
      </c>
      <c r="E145" s="30" t="s">
        <v>140</v>
      </c>
      <c r="F145" s="3">
        <v>9</v>
      </c>
      <c r="G145" s="73">
        <v>3</v>
      </c>
      <c r="H145" s="249">
        <f t="shared" si="145"/>
        <v>1.45</v>
      </c>
      <c r="I145" s="249">
        <f t="shared" si="146"/>
        <v>1.93</v>
      </c>
      <c r="J145" s="56">
        <f t="shared" si="88"/>
        <v>5.79</v>
      </c>
      <c r="K145" s="76">
        <f t="shared" si="147"/>
        <v>4.35</v>
      </c>
      <c r="L145" s="79">
        <f t="shared" si="161"/>
        <v>1.4400000000000004</v>
      </c>
      <c r="M145" s="80">
        <f t="shared" si="143"/>
        <v>0.04487759053973983</v>
      </c>
      <c r="N145" s="78">
        <f t="shared" si="162"/>
        <v>1.4848775905397402</v>
      </c>
      <c r="O145" s="16">
        <f t="shared" si="153"/>
        <v>0</v>
      </c>
      <c r="P145" s="16">
        <f t="shared" si="154"/>
        <v>0</v>
      </c>
      <c r="Q145" s="16">
        <f t="shared" si="155"/>
        <v>73</v>
      </c>
      <c r="R145" s="16">
        <f t="shared" si="156"/>
        <v>92</v>
      </c>
      <c r="S145" s="16">
        <f t="shared" si="157"/>
        <v>90</v>
      </c>
      <c r="T145" s="16">
        <f t="shared" si="157"/>
        <v>91</v>
      </c>
      <c r="U145" s="16">
        <f t="shared" si="157"/>
        <v>0</v>
      </c>
      <c r="V145" s="110">
        <f t="shared" si="158"/>
        <v>0</v>
      </c>
      <c r="W145" s="154">
        <f t="shared" si="159"/>
        <v>0</v>
      </c>
      <c r="X145" s="63">
        <f>($L145+SUM($W145:W145))*(P$11*P145)</f>
        <v>0</v>
      </c>
      <c r="Y145" s="63">
        <f>($L145+SUM($W145:X145))*(Q$11*Q145)</f>
        <v>0.009360000000000002</v>
      </c>
      <c r="Z145" s="63">
        <f>($L145+SUM($W145:Y145))*(R$11*R145)</f>
        <v>0.011872839452054796</v>
      </c>
      <c r="AA145" s="63">
        <f>($L145+SUM($W145:Z145))*(S$11*S145)</f>
        <v>0.011709879603828114</v>
      </c>
      <c r="AB145" s="63">
        <f>($L145+SUM($W145:AA145))*(T$11*T145)</f>
        <v>0.011934871483856918</v>
      </c>
      <c r="AC145" s="63">
        <f>($L145+SUM($W145:AB145))*(U$11*U145)</f>
        <v>0</v>
      </c>
      <c r="AD145" s="63">
        <f>($L145+SUM($W145:AB145))*(V$11*V145)</f>
        <v>0</v>
      </c>
      <c r="AE145" s="114">
        <f t="shared" si="160"/>
        <v>0.04487759053973983</v>
      </c>
    </row>
    <row r="146" spans="1:31" ht="12.75">
      <c r="A146" s="16">
        <v>7</v>
      </c>
      <c r="B146" s="15">
        <f t="shared" si="87"/>
        <v>41091</v>
      </c>
      <c r="C146" s="244">
        <f t="shared" si="139"/>
        <v>41124</v>
      </c>
      <c r="D146" s="244">
        <f t="shared" si="139"/>
        <v>41141</v>
      </c>
      <c r="E146" s="30" t="s">
        <v>140</v>
      </c>
      <c r="F146" s="3">
        <v>9</v>
      </c>
      <c r="G146" s="73">
        <v>3</v>
      </c>
      <c r="H146" s="249">
        <f aca="true" t="shared" si="163" ref="H146:H151">$K$8</f>
        <v>1.14</v>
      </c>
      <c r="I146" s="249">
        <f aca="true" t="shared" si="164" ref="I146:I151">J$8</f>
        <v>1.93</v>
      </c>
      <c r="J146" s="56">
        <f t="shared" si="88"/>
        <v>5.79</v>
      </c>
      <c r="K146" s="76">
        <f t="shared" si="147"/>
        <v>3.42</v>
      </c>
      <c r="L146" s="79">
        <f t="shared" si="161"/>
        <v>2.37</v>
      </c>
      <c r="M146" s="77">
        <f t="shared" si="143"/>
        <v>0.0671588724766898</v>
      </c>
      <c r="N146" s="78">
        <f t="shared" si="162"/>
        <v>2.4371588724766897</v>
      </c>
      <c r="O146" s="16">
        <f t="shared" si="153"/>
        <v>0</v>
      </c>
      <c r="P146" s="16">
        <f t="shared" si="154"/>
        <v>0</v>
      </c>
      <c r="Q146" s="16">
        <f t="shared" si="155"/>
        <v>42</v>
      </c>
      <c r="R146" s="16">
        <f t="shared" si="156"/>
        <v>92</v>
      </c>
      <c r="S146" s="16">
        <f t="shared" si="157"/>
        <v>90</v>
      </c>
      <c r="T146" s="16">
        <f t="shared" si="157"/>
        <v>91</v>
      </c>
      <c r="U146" s="16">
        <f t="shared" si="157"/>
        <v>0</v>
      </c>
      <c r="V146" s="110">
        <f t="shared" si="158"/>
        <v>0</v>
      </c>
      <c r="W146" s="154">
        <f t="shared" si="159"/>
        <v>0</v>
      </c>
      <c r="X146" s="63">
        <f>($L146+SUM($W146:W146))*(P$11*P146)</f>
        <v>0</v>
      </c>
      <c r="Y146" s="63">
        <f>($L146+SUM($W146:X146))*(Q$11*Q146)</f>
        <v>0.008863150684931508</v>
      </c>
      <c r="Z146" s="63">
        <f>($L146+SUM($W146:Y146))*(R$11*R146)</f>
        <v>0.019487125535747794</v>
      </c>
      <c r="AA146" s="63">
        <f>($L146+SUM($W146:Z146))*(S$11*S146)</f>
        <v>0.01921965632313832</v>
      </c>
      <c r="AB146" s="63">
        <f>($L146+SUM($W146:AA146))*(T$11*T146)</f>
        <v>0.019588939932872165</v>
      </c>
      <c r="AC146" s="63">
        <f>($L146+SUM($W146:AB146))*(U$11*U146)</f>
        <v>0</v>
      </c>
      <c r="AD146" s="63">
        <f>($L146+SUM($W146:AB146))*(V$11*V146)</f>
        <v>0</v>
      </c>
      <c r="AE146" s="114">
        <f t="shared" si="160"/>
        <v>0.0671588724766898</v>
      </c>
    </row>
    <row r="147" spans="1:31" ht="12.75">
      <c r="A147" s="3">
        <v>8</v>
      </c>
      <c r="B147" s="15">
        <f t="shared" si="87"/>
        <v>41122</v>
      </c>
      <c r="C147" s="244">
        <f t="shared" si="139"/>
        <v>41158</v>
      </c>
      <c r="D147" s="244">
        <f t="shared" si="139"/>
        <v>41173</v>
      </c>
      <c r="E147" s="30" t="s">
        <v>140</v>
      </c>
      <c r="F147" s="3">
        <v>9</v>
      </c>
      <c r="G147" s="73">
        <v>4</v>
      </c>
      <c r="H147" s="249">
        <f t="shared" si="163"/>
        <v>1.14</v>
      </c>
      <c r="I147" s="249">
        <f t="shared" si="164"/>
        <v>1.93</v>
      </c>
      <c r="J147" s="56">
        <f t="shared" si="88"/>
        <v>7.72</v>
      </c>
      <c r="K147" s="76">
        <f t="shared" si="147"/>
        <v>4.56</v>
      </c>
      <c r="L147" s="79">
        <f t="shared" si="161"/>
        <v>3.16</v>
      </c>
      <c r="M147" s="77">
        <f t="shared" si="143"/>
        <v>0.0803206823342721</v>
      </c>
      <c r="N147" s="78">
        <f t="shared" si="162"/>
        <v>3.2403206823342723</v>
      </c>
      <c r="O147" s="16">
        <f t="shared" si="153"/>
        <v>0</v>
      </c>
      <c r="P147" s="16">
        <f t="shared" si="154"/>
        <v>0</v>
      </c>
      <c r="Q147" s="16">
        <f t="shared" si="155"/>
        <v>10</v>
      </c>
      <c r="R147" s="16">
        <f t="shared" si="156"/>
        <v>92</v>
      </c>
      <c r="S147" s="16">
        <f t="shared" si="157"/>
        <v>90</v>
      </c>
      <c r="T147" s="16">
        <f t="shared" si="157"/>
        <v>91</v>
      </c>
      <c r="U147" s="16">
        <f t="shared" si="157"/>
        <v>0</v>
      </c>
      <c r="V147" s="110">
        <f t="shared" si="158"/>
        <v>0</v>
      </c>
      <c r="W147" s="154">
        <f t="shared" si="159"/>
        <v>0</v>
      </c>
      <c r="X147" s="63">
        <f>($L147+SUM($W147:W147))*(P$11*P147)</f>
        <v>0</v>
      </c>
      <c r="Y147" s="63">
        <f>($L147+SUM($W147:X147))*(Q$11*Q147)</f>
        <v>0.0028136986301369863</v>
      </c>
      <c r="Z147" s="63">
        <f>($L147+SUM($W147:Y147))*(R$11*R147)</f>
        <v>0.025909076599737284</v>
      </c>
      <c r="AA147" s="63">
        <f>($L147+SUM($W147:Z147))*(S$11*S147)</f>
        <v>0.025553463335746252</v>
      </c>
      <c r="AB147" s="63">
        <f>($L147+SUM($W147:AA147))*(T$11*T147)</f>
        <v>0.02604444376865157</v>
      </c>
      <c r="AC147" s="63">
        <f>($L147+SUM($W147:AB147))*(U$11*U147)</f>
        <v>0</v>
      </c>
      <c r="AD147" s="63">
        <f>($L147+SUM($W147:AB147))*(V$11*V147)</f>
        <v>0</v>
      </c>
      <c r="AE147" s="114">
        <f t="shared" si="160"/>
        <v>0.0803206823342721</v>
      </c>
    </row>
    <row r="148" spans="1:31" ht="12.75">
      <c r="A148" s="3">
        <v>9</v>
      </c>
      <c r="B148" s="15">
        <f t="shared" si="87"/>
        <v>41153</v>
      </c>
      <c r="C148" s="244">
        <f t="shared" si="139"/>
        <v>41185</v>
      </c>
      <c r="D148" s="244">
        <f t="shared" si="139"/>
        <v>41200</v>
      </c>
      <c r="E148" s="30" t="s">
        <v>140</v>
      </c>
      <c r="F148" s="3">
        <v>9</v>
      </c>
      <c r="G148" s="73">
        <v>2</v>
      </c>
      <c r="H148" s="249">
        <f t="shared" si="163"/>
        <v>1.14</v>
      </c>
      <c r="I148" s="249">
        <f t="shared" si="164"/>
        <v>1.93</v>
      </c>
      <c r="J148" s="56">
        <f t="shared" si="88"/>
        <v>3.86</v>
      </c>
      <c r="K148" s="76">
        <f t="shared" si="147"/>
        <v>2.28</v>
      </c>
      <c r="L148" s="79">
        <f t="shared" si="161"/>
        <v>1.58</v>
      </c>
      <c r="M148" s="77">
        <f t="shared" si="143"/>
        <v>0.03628867210342189</v>
      </c>
      <c r="N148" s="78">
        <f t="shared" si="162"/>
        <v>1.616288672103422</v>
      </c>
      <c r="O148" s="16">
        <f t="shared" si="153"/>
        <v>0</v>
      </c>
      <c r="P148" s="16">
        <f t="shared" si="154"/>
        <v>0</v>
      </c>
      <c r="Q148" s="16">
        <f t="shared" si="155"/>
        <v>0</v>
      </c>
      <c r="R148" s="16">
        <f t="shared" si="156"/>
        <v>75</v>
      </c>
      <c r="S148" s="16">
        <f t="shared" si="157"/>
        <v>90</v>
      </c>
      <c r="T148" s="16">
        <f t="shared" si="157"/>
        <v>91</v>
      </c>
      <c r="U148" s="16">
        <f t="shared" si="157"/>
        <v>0</v>
      </c>
      <c r="V148" s="110">
        <f t="shared" si="158"/>
        <v>0</v>
      </c>
      <c r="W148" s="154">
        <f t="shared" si="159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0.0105513698630137</v>
      </c>
      <c r="AA148" s="63">
        <f>($L148+SUM($W148:Z148))*(S$11*S148)</f>
        <v>0.01274619933383374</v>
      </c>
      <c r="AB148" s="63">
        <f>($L148+SUM($W148:AA148))*(T$11*T148)</f>
        <v>0.012991102906574455</v>
      </c>
      <c r="AC148" s="63">
        <f>($L148+SUM($W148:AB148))*(U$11*U148)</f>
        <v>0</v>
      </c>
      <c r="AD148" s="63">
        <f>($L148+SUM($W148:AB148))*(V$11*V148)</f>
        <v>0</v>
      </c>
      <c r="AE148" s="114">
        <f t="shared" si="160"/>
        <v>0.03628867210342189</v>
      </c>
    </row>
    <row r="149" spans="1:31" ht="12.75">
      <c r="A149" s="16">
        <v>10</v>
      </c>
      <c r="B149" s="15">
        <f aca="true" t="shared" si="165" ref="B149:B211">DATE($N$1,A149,1)</f>
        <v>41183</v>
      </c>
      <c r="C149" s="244">
        <f t="shared" si="139"/>
        <v>41218</v>
      </c>
      <c r="D149" s="244">
        <f t="shared" si="139"/>
        <v>41233</v>
      </c>
      <c r="E149" s="30" t="s">
        <v>140</v>
      </c>
      <c r="F149" s="3">
        <v>9</v>
      </c>
      <c r="G149" s="73">
        <v>2</v>
      </c>
      <c r="H149" s="249">
        <f t="shared" si="163"/>
        <v>1.14</v>
      </c>
      <c r="I149" s="249">
        <f t="shared" si="164"/>
        <v>1.93</v>
      </c>
      <c r="J149" s="56">
        <f aca="true" t="shared" si="166" ref="J149:J211">+$G149*I149</f>
        <v>3.86</v>
      </c>
      <c r="K149" s="76">
        <f t="shared" si="147"/>
        <v>2.28</v>
      </c>
      <c r="L149" s="79">
        <f t="shared" si="161"/>
        <v>1.58</v>
      </c>
      <c r="M149" s="77">
        <f t="shared" si="143"/>
        <v>0.03157094568510335</v>
      </c>
      <c r="N149" s="78">
        <f t="shared" si="162"/>
        <v>1.6115709456851035</v>
      </c>
      <c r="O149" s="16">
        <f t="shared" si="153"/>
        <v>0</v>
      </c>
      <c r="P149" s="16">
        <f t="shared" si="154"/>
        <v>0</v>
      </c>
      <c r="Q149" s="16">
        <f t="shared" si="155"/>
        <v>0</v>
      </c>
      <c r="R149" s="16">
        <f t="shared" si="156"/>
        <v>42</v>
      </c>
      <c r="S149" s="16">
        <f t="shared" si="157"/>
        <v>90</v>
      </c>
      <c r="T149" s="16">
        <f t="shared" si="157"/>
        <v>91</v>
      </c>
      <c r="U149" s="16">
        <f t="shared" si="157"/>
        <v>0</v>
      </c>
      <c r="V149" s="110">
        <f t="shared" si="158"/>
        <v>0</v>
      </c>
      <c r="W149" s="154">
        <f t="shared" si="159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0.005908767123287671</v>
      </c>
      <c r="AA149" s="63">
        <f>($L149+SUM($W149:Z149))*(S$11*S149)</f>
        <v>0.012708994914618126</v>
      </c>
      <c r="AB149" s="63">
        <f>($L149+SUM($W149:AA149))*(T$11*T149)</f>
        <v>0.012953183647197553</v>
      </c>
      <c r="AC149" s="63">
        <f>($L149+SUM($W149:AB149))*(U$11*U149)</f>
        <v>0</v>
      </c>
      <c r="AD149" s="63">
        <f>($L149+SUM($W149:AB149))*(V$11*V149)</f>
        <v>0</v>
      </c>
      <c r="AE149" s="114">
        <f t="shared" si="160"/>
        <v>0.03157094568510335</v>
      </c>
    </row>
    <row r="150" spans="1:31" ht="12.75">
      <c r="A150" s="3">
        <v>11</v>
      </c>
      <c r="B150" s="15">
        <f t="shared" si="165"/>
        <v>41214</v>
      </c>
      <c r="C150" s="244">
        <f t="shared" si="139"/>
        <v>41248</v>
      </c>
      <c r="D150" s="244">
        <f t="shared" si="139"/>
        <v>41263</v>
      </c>
      <c r="E150" s="30" t="s">
        <v>140</v>
      </c>
      <c r="F150" s="3">
        <v>9</v>
      </c>
      <c r="G150" s="73">
        <v>1</v>
      </c>
      <c r="H150" s="249">
        <f t="shared" si="163"/>
        <v>1.14</v>
      </c>
      <c r="I150" s="249">
        <f t="shared" si="164"/>
        <v>1.93</v>
      </c>
      <c r="J150" s="56">
        <f t="shared" si="166"/>
        <v>1.93</v>
      </c>
      <c r="K150" s="76">
        <f t="shared" si="147"/>
        <v>1.14</v>
      </c>
      <c r="L150" s="79">
        <f t="shared" si="161"/>
        <v>0.79</v>
      </c>
      <c r="M150" s="77">
        <f t="shared" si="143"/>
        <v>0.013641051743315973</v>
      </c>
      <c r="N150" s="78">
        <f t="shared" si="162"/>
        <v>0.803641051743316</v>
      </c>
      <c r="O150" s="16">
        <f t="shared" si="148"/>
        <v>0</v>
      </c>
      <c r="P150" s="16">
        <f t="shared" si="149"/>
        <v>0</v>
      </c>
      <c r="Q150" s="16">
        <f t="shared" si="150"/>
        <v>0</v>
      </c>
      <c r="R150" s="16">
        <f t="shared" si="151"/>
        <v>12</v>
      </c>
      <c r="S150" s="16">
        <f aca="true" t="shared" si="167" ref="S150:U154">IF($D150&lt;S$8,S$12,IF($D150&lt;T$8,T$8-$D150,0))</f>
        <v>90</v>
      </c>
      <c r="T150" s="16">
        <f t="shared" si="167"/>
        <v>91</v>
      </c>
      <c r="U150" s="16">
        <f t="shared" si="167"/>
        <v>0</v>
      </c>
      <c r="V150" s="110">
        <f t="shared" si="135"/>
        <v>0</v>
      </c>
      <c r="W150" s="154">
        <f t="shared" si="13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0.000844109589041096</v>
      </c>
      <c r="AA150" s="63">
        <f>($L150+SUM($W150:Z150))*(S$11*S150)</f>
        <v>0.006337586357665603</v>
      </c>
      <c r="AB150" s="63">
        <f>($L150+SUM($W150:AA150))*(T$11*T150)</f>
        <v>0.006459355796609274</v>
      </c>
      <c r="AC150" s="63">
        <f>($L150+SUM($W150:AB150))*(U$11*U150)</f>
        <v>0</v>
      </c>
      <c r="AD150" s="63">
        <f>($L150+SUM($W150:AB150))*(V$11*V150)</f>
        <v>0</v>
      </c>
      <c r="AE150" s="114">
        <f aca="true" t="shared" si="168" ref="AE150:AE163">SUM(W150:AD150)</f>
        <v>0.013641051743315973</v>
      </c>
    </row>
    <row r="151" spans="1:31" s="70" customFormat="1" ht="12.75">
      <c r="A151" s="3">
        <v>12</v>
      </c>
      <c r="B151" s="86">
        <f t="shared" si="165"/>
        <v>41244</v>
      </c>
      <c r="C151" s="244">
        <f t="shared" si="139"/>
        <v>41278</v>
      </c>
      <c r="D151" s="244">
        <f t="shared" si="139"/>
        <v>41295</v>
      </c>
      <c r="E151" s="87" t="s">
        <v>140</v>
      </c>
      <c r="F151" s="83">
        <v>9</v>
      </c>
      <c r="G151" s="88">
        <v>1</v>
      </c>
      <c r="H151" s="250">
        <f t="shared" si="163"/>
        <v>1.14</v>
      </c>
      <c r="I151" s="250">
        <f t="shared" si="164"/>
        <v>1.93</v>
      </c>
      <c r="J151" s="89">
        <f t="shared" si="166"/>
        <v>1.93</v>
      </c>
      <c r="K151" s="90">
        <f t="shared" si="147"/>
        <v>1.14</v>
      </c>
      <c r="L151" s="91">
        <f t="shared" si="161"/>
        <v>0.79</v>
      </c>
      <c r="M151" s="92">
        <f t="shared" si="143"/>
        <v>0.01136503465471946</v>
      </c>
      <c r="N151" s="93">
        <f t="shared" si="162"/>
        <v>0.8013650346547195</v>
      </c>
      <c r="O151" s="83">
        <f t="shared" si="148"/>
        <v>0</v>
      </c>
      <c r="P151" s="83">
        <f t="shared" si="149"/>
        <v>0</v>
      </c>
      <c r="Q151" s="83">
        <f t="shared" si="150"/>
        <v>0</v>
      </c>
      <c r="R151" s="83">
        <f t="shared" si="151"/>
        <v>0</v>
      </c>
      <c r="S151" s="83">
        <f t="shared" si="167"/>
        <v>70</v>
      </c>
      <c r="T151" s="83">
        <f t="shared" si="167"/>
        <v>91</v>
      </c>
      <c r="U151" s="83">
        <f t="shared" si="167"/>
        <v>0</v>
      </c>
      <c r="V151" s="111">
        <f t="shared" si="135"/>
        <v>0</v>
      </c>
      <c r="W151" s="155">
        <f t="shared" si="136"/>
        <v>0</v>
      </c>
      <c r="X151" s="94">
        <f>($L151+SUM($W151:W151))*(P$11*P151)</f>
        <v>0</v>
      </c>
      <c r="Y151" s="94">
        <f>($L151+SUM($W151:X151))*(Q$11*Q151)</f>
        <v>0</v>
      </c>
      <c r="Z151" s="94">
        <f>($L151+SUM($W151:Y151))*(R$11*R151)</f>
        <v>0</v>
      </c>
      <c r="AA151" s="94">
        <f>($L151+SUM($W151:Z151))*(S$11*S151)</f>
        <v>0.004923972602739727</v>
      </c>
      <c r="AB151" s="94">
        <f>($L151+SUM($W151:AA151))*(T$11*T151)</f>
        <v>0.006441062051979734</v>
      </c>
      <c r="AC151" s="94">
        <f>($L151+SUM($W151:AB151))*(U$11*U151)</f>
        <v>0</v>
      </c>
      <c r="AD151" s="94">
        <f>($L151+SUM($W151:AB151))*(V$11*V151)</f>
        <v>0</v>
      </c>
      <c r="AE151" s="115">
        <f t="shared" si="168"/>
        <v>0.01136503465471946</v>
      </c>
    </row>
    <row r="152" spans="1:31" ht="12.75">
      <c r="A152" s="16">
        <v>1</v>
      </c>
      <c r="B152" s="15">
        <f t="shared" si="165"/>
        <v>40909</v>
      </c>
      <c r="C152" s="243">
        <f aca="true" t="shared" si="169" ref="C152:D171">+C140</f>
        <v>40942</v>
      </c>
      <c r="D152" s="243">
        <f t="shared" si="169"/>
        <v>40959</v>
      </c>
      <c r="E152" s="121" t="s">
        <v>204</v>
      </c>
      <c r="F152" s="16">
        <v>9</v>
      </c>
      <c r="G152" s="73">
        <v>91</v>
      </c>
      <c r="H152" s="249">
        <f aca="true" t="shared" si="170" ref="H152:H157">$K$3</f>
        <v>1.45</v>
      </c>
      <c r="I152" s="249">
        <f t="shared" si="146"/>
        <v>1.93</v>
      </c>
      <c r="J152" s="56">
        <f t="shared" si="166"/>
        <v>175.63</v>
      </c>
      <c r="K152" s="57">
        <f aca="true" t="shared" si="171" ref="K152:K163">+$G152*H152</f>
        <v>131.95</v>
      </c>
      <c r="L152" s="58">
        <f t="shared" si="161"/>
        <v>43.68000000000001</v>
      </c>
      <c r="M152" s="55">
        <f t="shared" si="143"/>
        <v>1.9686085818212886</v>
      </c>
      <c r="N152" s="29">
        <f t="shared" si="162"/>
        <v>45.64860858182129</v>
      </c>
      <c r="O152" s="16">
        <f t="shared" si="148"/>
        <v>41</v>
      </c>
      <c r="P152" s="16">
        <f t="shared" si="149"/>
        <v>91</v>
      </c>
      <c r="Q152" s="16">
        <f t="shared" si="150"/>
        <v>92</v>
      </c>
      <c r="R152" s="16">
        <f t="shared" si="151"/>
        <v>92</v>
      </c>
      <c r="S152" s="16">
        <f t="shared" si="167"/>
        <v>90</v>
      </c>
      <c r="T152" s="16">
        <f t="shared" si="167"/>
        <v>91</v>
      </c>
      <c r="U152" s="16">
        <f t="shared" si="167"/>
        <v>0</v>
      </c>
      <c r="V152" s="110">
        <f aca="true" t="shared" si="172" ref="V152:V159">IF(W$8&lt;V$8,0,IF($D152&lt;V$8,V$12,IF($D152&lt;W$8,W$8-$D152,0)))</f>
        <v>0</v>
      </c>
      <c r="W152" s="154">
        <f aca="true" t="shared" si="173" ref="W152:W159">$L152*O$11*O152</f>
        <v>0.1594619178082192</v>
      </c>
      <c r="X152" s="63">
        <f>($L152+SUM($W152:W152))*(P$11*P152)</f>
        <v>0.35521974964909</v>
      </c>
      <c r="Y152" s="63">
        <f>($L152+SUM($W152:X152))*(Q$11*Q152)</f>
        <v>0.36203314571423933</v>
      </c>
      <c r="Z152" s="63">
        <f>($L152+SUM($W152:Y152))*(R$11*R152)</f>
        <v>0.3649988418941998</v>
      </c>
      <c r="AA152" s="63">
        <f>($L152+SUM($W152:Z152))*(S$11*S152)</f>
        <v>0.35998907518100637</v>
      </c>
      <c r="AB152" s="63">
        <f>($L152+SUM($W152:AA152))*(T$11*T152)</f>
        <v>0.3669058515745337</v>
      </c>
      <c r="AC152" s="63">
        <f>($L152+SUM($W152:AB152))*(U$11*U152)</f>
        <v>0</v>
      </c>
      <c r="AD152" s="63">
        <f>($L152+SUM($W152:AB152))*(V$11*V152)</f>
        <v>0</v>
      </c>
      <c r="AE152" s="114">
        <f t="shared" si="168"/>
        <v>1.9686085818212886</v>
      </c>
    </row>
    <row r="153" spans="1:31" ht="12.75">
      <c r="A153" s="3">
        <v>2</v>
      </c>
      <c r="B153" s="15">
        <f t="shared" si="165"/>
        <v>40940</v>
      </c>
      <c r="C153" s="244">
        <f t="shared" si="169"/>
        <v>40973</v>
      </c>
      <c r="D153" s="244">
        <f t="shared" si="169"/>
        <v>40988</v>
      </c>
      <c r="E153" s="161" t="s">
        <v>204</v>
      </c>
      <c r="F153" s="3">
        <v>9</v>
      </c>
      <c r="G153" s="73">
        <v>84</v>
      </c>
      <c r="H153" s="249">
        <f t="shared" si="170"/>
        <v>1.45</v>
      </c>
      <c r="I153" s="249">
        <f t="shared" si="146"/>
        <v>1.93</v>
      </c>
      <c r="J153" s="56">
        <f t="shared" si="166"/>
        <v>162.12</v>
      </c>
      <c r="K153" s="57">
        <f t="shared" si="171"/>
        <v>121.8</v>
      </c>
      <c r="L153" s="58">
        <f t="shared" si="161"/>
        <v>40.32000000000001</v>
      </c>
      <c r="M153" s="55">
        <f t="shared" si="143"/>
        <v>1.7087666525188427</v>
      </c>
      <c r="N153" s="29">
        <f t="shared" si="162"/>
        <v>42.02876665251885</v>
      </c>
      <c r="O153" s="16">
        <f t="shared" si="148"/>
        <v>12</v>
      </c>
      <c r="P153" s="16">
        <f t="shared" si="149"/>
        <v>91</v>
      </c>
      <c r="Q153" s="16">
        <f t="shared" si="150"/>
        <v>92</v>
      </c>
      <c r="R153" s="16">
        <f t="shared" si="151"/>
        <v>92</v>
      </c>
      <c r="S153" s="16">
        <f t="shared" si="167"/>
        <v>90</v>
      </c>
      <c r="T153" s="16">
        <f t="shared" si="167"/>
        <v>91</v>
      </c>
      <c r="U153" s="16">
        <f t="shared" si="167"/>
        <v>0</v>
      </c>
      <c r="V153" s="110">
        <f t="shared" si="172"/>
        <v>0</v>
      </c>
      <c r="W153" s="154">
        <f t="shared" si="173"/>
        <v>0.04308164383561644</v>
      </c>
      <c r="X153" s="63">
        <f>($L153+SUM($W153:W153))*(P$11*P153)</f>
        <v>0.3270515451003941</v>
      </c>
      <c r="Y153" s="63">
        <f>($L153+SUM($W153:X153))*(Q$11*Q153)</f>
        <v>0.33332465269840733</v>
      </c>
      <c r="Z153" s="63">
        <f>($L153+SUM($W153:Y153))*(R$11*R153)</f>
        <v>0.3360551751958546</v>
      </c>
      <c r="AA153" s="63">
        <f>($L153+SUM($W153:Z153))*(S$11*S153)</f>
        <v>0.3314426728061056</v>
      </c>
      <c r="AB153" s="63">
        <f>($L153+SUM($W153:AA153))*(T$11*T153)</f>
        <v>0.33781096288246465</v>
      </c>
      <c r="AC153" s="63">
        <f>($L153+SUM($W153:AB153))*(U$11*U153)</f>
        <v>0</v>
      </c>
      <c r="AD153" s="63">
        <f>($L153+SUM($W153:AB153))*(V$11*V153)</f>
        <v>0</v>
      </c>
      <c r="AE153" s="114">
        <f t="shared" si="168"/>
        <v>1.7087666525188427</v>
      </c>
    </row>
    <row r="154" spans="1:31" ht="12.75">
      <c r="A154" s="3">
        <v>3</v>
      </c>
      <c r="B154" s="15">
        <f t="shared" si="165"/>
        <v>40969</v>
      </c>
      <c r="C154" s="244">
        <f t="shared" si="169"/>
        <v>41003</v>
      </c>
      <c r="D154" s="244">
        <f t="shared" si="169"/>
        <v>41018</v>
      </c>
      <c r="E154" s="161" t="s">
        <v>204</v>
      </c>
      <c r="F154" s="3">
        <v>9</v>
      </c>
      <c r="G154" s="73">
        <v>82</v>
      </c>
      <c r="H154" s="249">
        <f t="shared" si="170"/>
        <v>1.45</v>
      </c>
      <c r="I154" s="249">
        <f t="shared" si="146"/>
        <v>1.93</v>
      </c>
      <c r="J154" s="56">
        <f t="shared" si="166"/>
        <v>158.26</v>
      </c>
      <c r="K154" s="57">
        <f t="shared" si="171"/>
        <v>118.89999999999999</v>
      </c>
      <c r="L154" s="58">
        <f>+J154-K154</f>
        <v>39.36</v>
      </c>
      <c r="M154" s="55">
        <f t="shared" si="143"/>
        <v>1.5591311164410468</v>
      </c>
      <c r="N154" s="29">
        <f>SUM(L154:M154)</f>
        <v>40.919131116441044</v>
      </c>
      <c r="O154" s="16">
        <f t="shared" si="148"/>
        <v>0</v>
      </c>
      <c r="P154" s="16">
        <f t="shared" si="149"/>
        <v>73</v>
      </c>
      <c r="Q154" s="16">
        <f t="shared" si="150"/>
        <v>92</v>
      </c>
      <c r="R154" s="16">
        <f t="shared" si="151"/>
        <v>92</v>
      </c>
      <c r="S154" s="16">
        <f t="shared" si="167"/>
        <v>90</v>
      </c>
      <c r="T154" s="16">
        <f t="shared" si="167"/>
        <v>91</v>
      </c>
      <c r="U154" s="16">
        <f t="shared" si="167"/>
        <v>0</v>
      </c>
      <c r="V154" s="110">
        <f>IF(W$8&lt;V$8,0,IF($D154&lt;V$8,V$12,IF($D154&lt;W$8,W$8-$D154,0)))</f>
        <v>0</v>
      </c>
      <c r="W154" s="154">
        <f>$L154*O$11*O154</f>
        <v>0</v>
      </c>
      <c r="X154" s="63">
        <f>($L154+SUM($W154:W154))*(P$11*P154)</f>
        <v>0.25584</v>
      </c>
      <c r="Y154" s="63">
        <f>($L154+SUM($W154:X154))*(Q$11*Q154)</f>
        <v>0.3245242783561643</v>
      </c>
      <c r="Z154" s="63">
        <f>($L154+SUM($W154:Y154))*(R$11*R154)</f>
        <v>0.3271827101158491</v>
      </c>
      <c r="AA154" s="63">
        <f>($L154+SUM($W154:Z154))*(S$11*S154)</f>
        <v>0.3226919861404949</v>
      </c>
      <c r="AB154" s="63">
        <f>($L154+SUM($W154:AA154))*(T$11*T154)</f>
        <v>0.3288921418285384</v>
      </c>
      <c r="AC154" s="63">
        <f>($L154+SUM($W154:AB154))*(U$11*U154)</f>
        <v>0</v>
      </c>
      <c r="AD154" s="63">
        <f>($L154+SUM($W154:AB154))*(V$11*V154)</f>
        <v>0</v>
      </c>
      <c r="AE154" s="114">
        <f t="shared" si="168"/>
        <v>1.5591311164410468</v>
      </c>
    </row>
    <row r="155" spans="1:31" ht="12.75">
      <c r="A155" s="16">
        <v>4</v>
      </c>
      <c r="B155" s="15">
        <f t="shared" si="165"/>
        <v>41000</v>
      </c>
      <c r="C155" s="244">
        <f t="shared" si="169"/>
        <v>41032</v>
      </c>
      <c r="D155" s="244">
        <f t="shared" si="169"/>
        <v>41047</v>
      </c>
      <c r="E155" s="161" t="s">
        <v>204</v>
      </c>
      <c r="F155" s="3">
        <v>9</v>
      </c>
      <c r="G155" s="73">
        <v>94</v>
      </c>
      <c r="H155" s="249">
        <f t="shared" si="170"/>
        <v>1.45</v>
      </c>
      <c r="I155" s="249">
        <f t="shared" si="146"/>
        <v>1.93</v>
      </c>
      <c r="J155" s="56">
        <f t="shared" si="166"/>
        <v>181.42</v>
      </c>
      <c r="K155" s="57">
        <f t="shared" si="171"/>
        <v>136.29999999999998</v>
      </c>
      <c r="L155" s="58">
        <f aca="true" t="shared" si="174" ref="L155:L165">+J155-K155</f>
        <v>45.120000000000005</v>
      </c>
      <c r="M155" s="55">
        <f t="shared" si="143"/>
        <v>1.6669552290255114</v>
      </c>
      <c r="N155" s="29">
        <f aca="true" t="shared" si="175" ref="N155:N165">SUM(L155:M155)</f>
        <v>46.786955229025516</v>
      </c>
      <c r="O155" s="16">
        <f aca="true" t="shared" si="176" ref="O155:U159">IF($D155&lt;O$8,O$12,IF($D155&lt;P$8,P$8-$D155,0))</f>
        <v>0</v>
      </c>
      <c r="P155" s="16">
        <f t="shared" si="176"/>
        <v>44</v>
      </c>
      <c r="Q155" s="16">
        <f t="shared" si="176"/>
        <v>92</v>
      </c>
      <c r="R155" s="16">
        <f t="shared" si="176"/>
        <v>92</v>
      </c>
      <c r="S155" s="16">
        <f t="shared" si="176"/>
        <v>90</v>
      </c>
      <c r="T155" s="16">
        <f t="shared" si="176"/>
        <v>91</v>
      </c>
      <c r="U155" s="16">
        <f t="shared" si="176"/>
        <v>0</v>
      </c>
      <c r="V155" s="110">
        <f t="shared" si="172"/>
        <v>0</v>
      </c>
      <c r="W155" s="154">
        <f t="shared" si="173"/>
        <v>0</v>
      </c>
      <c r="X155" s="63">
        <f>($L155+SUM($W155:W155))*(P$11*P155)</f>
        <v>0.17677150684931509</v>
      </c>
      <c r="Y155" s="63">
        <f>($L155+SUM($W155:X155))*(Q$11*Q155)</f>
        <v>0.37106122412460124</v>
      </c>
      <c r="Z155" s="63">
        <f>($L155+SUM($W155:Y155))*(R$11*R155)</f>
        <v>0.37410087634414246</v>
      </c>
      <c r="AA155" s="63">
        <f>($L155+SUM($W155:Z155))*(S$11*S155)</f>
        <v>0.3689661802778228</v>
      </c>
      <c r="AB155" s="63">
        <f>($L155+SUM($W155:AA155))*(T$11*T155)</f>
        <v>0.3760554414296297</v>
      </c>
      <c r="AC155" s="63">
        <f>($L155+SUM($W155:AB155))*(U$11*U155)</f>
        <v>0</v>
      </c>
      <c r="AD155" s="63">
        <f>($L155+SUM($W155:AB155))*(V$11*V155)</f>
        <v>0</v>
      </c>
      <c r="AE155" s="114">
        <f t="shared" si="168"/>
        <v>1.6669552290255114</v>
      </c>
    </row>
    <row r="156" spans="1:31" ht="12.75">
      <c r="A156" s="3">
        <v>5</v>
      </c>
      <c r="B156" s="15">
        <f t="shared" si="165"/>
        <v>41030</v>
      </c>
      <c r="C156" s="244">
        <f t="shared" si="169"/>
        <v>41065</v>
      </c>
      <c r="D156" s="244">
        <f t="shared" si="169"/>
        <v>41080</v>
      </c>
      <c r="E156" s="161" t="s">
        <v>204</v>
      </c>
      <c r="F156" s="3">
        <v>9</v>
      </c>
      <c r="G156" s="73">
        <v>124</v>
      </c>
      <c r="H156" s="249">
        <f t="shared" si="170"/>
        <v>1.45</v>
      </c>
      <c r="I156" s="249">
        <f t="shared" si="146"/>
        <v>1.93</v>
      </c>
      <c r="J156" s="56">
        <f t="shared" si="166"/>
        <v>239.32</v>
      </c>
      <c r="K156" s="57">
        <f t="shared" si="171"/>
        <v>179.79999999999998</v>
      </c>
      <c r="L156" s="58">
        <f t="shared" si="174"/>
        <v>59.52000000000001</v>
      </c>
      <c r="M156" s="55">
        <f t="shared" si="143"/>
        <v>2.0183176546737425</v>
      </c>
      <c r="N156" s="29">
        <f t="shared" si="175"/>
        <v>61.538317654673754</v>
      </c>
      <c r="O156" s="16">
        <f t="shared" si="176"/>
        <v>0</v>
      </c>
      <c r="P156" s="16">
        <f t="shared" si="176"/>
        <v>11</v>
      </c>
      <c r="Q156" s="16">
        <f t="shared" si="176"/>
        <v>92</v>
      </c>
      <c r="R156" s="16">
        <f t="shared" si="176"/>
        <v>92</v>
      </c>
      <c r="S156" s="16">
        <f t="shared" si="176"/>
        <v>90</v>
      </c>
      <c r="T156" s="16">
        <f t="shared" si="176"/>
        <v>91</v>
      </c>
      <c r="U156" s="16">
        <f t="shared" si="176"/>
        <v>0</v>
      </c>
      <c r="V156" s="110">
        <f t="shared" si="172"/>
        <v>0</v>
      </c>
      <c r="W156" s="154">
        <f t="shared" si="173"/>
        <v>0</v>
      </c>
      <c r="X156" s="63">
        <f>($L156+SUM($W156:W156))*(P$11*P156)</f>
        <v>0.05829698630136987</v>
      </c>
      <c r="Y156" s="63">
        <f>($L156+SUM($W156:X156))*(Q$11*Q156)</f>
        <v>0.48805235065490715</v>
      </c>
      <c r="Z156" s="63">
        <f>($L156+SUM($W156:Y156))*(R$11*R156)</f>
        <v>0.4920503685410939</v>
      </c>
      <c r="AA156" s="63">
        <f>($L156+SUM($W156:Z156))*(S$11*S156)</f>
        <v>0.48529676476323236</v>
      </c>
      <c r="AB156" s="63">
        <f>($L156+SUM($W156:AA156))*(T$11*T156)</f>
        <v>0.49462118441313907</v>
      </c>
      <c r="AC156" s="63">
        <f>($L156+SUM($W156:AB156))*(U$11*U156)</f>
        <v>0</v>
      </c>
      <c r="AD156" s="63">
        <f>($L156+SUM($W156:AB156))*(V$11*V156)</f>
        <v>0</v>
      </c>
      <c r="AE156" s="114">
        <f t="shared" si="168"/>
        <v>2.0183176546737425</v>
      </c>
    </row>
    <row r="157" spans="1:31" ht="12.75">
      <c r="A157" s="3">
        <v>6</v>
      </c>
      <c r="B157" s="15">
        <f t="shared" si="165"/>
        <v>41061</v>
      </c>
      <c r="C157" s="244">
        <f t="shared" si="169"/>
        <v>41095</v>
      </c>
      <c r="D157" s="244">
        <f t="shared" si="169"/>
        <v>41110</v>
      </c>
      <c r="E157" s="161" t="s">
        <v>204</v>
      </c>
      <c r="F157" s="3">
        <v>9</v>
      </c>
      <c r="G157" s="73">
        <v>147</v>
      </c>
      <c r="H157" s="249">
        <f t="shared" si="170"/>
        <v>1.45</v>
      </c>
      <c r="I157" s="249">
        <f t="shared" si="146"/>
        <v>1.93</v>
      </c>
      <c r="J157" s="56">
        <f t="shared" si="166"/>
        <v>283.71</v>
      </c>
      <c r="K157" s="57">
        <f t="shared" si="171"/>
        <v>213.15</v>
      </c>
      <c r="L157" s="79">
        <f t="shared" si="174"/>
        <v>70.55999999999997</v>
      </c>
      <c r="M157" s="80">
        <f t="shared" si="143"/>
        <v>2.1990019364472504</v>
      </c>
      <c r="N157" s="78">
        <f t="shared" si="175"/>
        <v>72.75900193644722</v>
      </c>
      <c r="O157" s="16">
        <f t="shared" si="176"/>
        <v>0</v>
      </c>
      <c r="P157" s="16">
        <f t="shared" si="176"/>
        <v>0</v>
      </c>
      <c r="Q157" s="16">
        <f t="shared" si="176"/>
        <v>73</v>
      </c>
      <c r="R157" s="16">
        <f t="shared" si="176"/>
        <v>92</v>
      </c>
      <c r="S157" s="16">
        <f t="shared" si="176"/>
        <v>90</v>
      </c>
      <c r="T157" s="16">
        <f t="shared" si="176"/>
        <v>91</v>
      </c>
      <c r="U157" s="16">
        <f t="shared" si="176"/>
        <v>0</v>
      </c>
      <c r="V157" s="110">
        <f t="shared" si="172"/>
        <v>0</v>
      </c>
      <c r="W157" s="154">
        <f t="shared" si="173"/>
        <v>0</v>
      </c>
      <c r="X157" s="63">
        <f>($L157+SUM($W157:W157))*(P$11*P157)</f>
        <v>0</v>
      </c>
      <c r="Y157" s="63">
        <f>($L157+SUM($W157:X157))*(Q$11*Q157)</f>
        <v>0.4586399999999998</v>
      </c>
      <c r="Z157" s="63">
        <f>($L157+SUM($W157:Y157))*(R$11*R157)</f>
        <v>0.5817691331506847</v>
      </c>
      <c r="AA157" s="63">
        <f>($L157+SUM($W157:Z157))*(S$11*S157)</f>
        <v>0.5737841005875772</v>
      </c>
      <c r="AB157" s="63">
        <f>($L157+SUM($W157:AA157))*(T$11*T157)</f>
        <v>0.5848087027089885</v>
      </c>
      <c r="AC157" s="63">
        <f>($L157+SUM($W157:AB157))*(U$11*U157)</f>
        <v>0</v>
      </c>
      <c r="AD157" s="63">
        <f>($L157+SUM($W157:AB157))*(V$11*V157)</f>
        <v>0</v>
      </c>
      <c r="AE157" s="114">
        <f t="shared" si="168"/>
        <v>2.1990019364472504</v>
      </c>
    </row>
    <row r="158" spans="1:31" ht="12.75">
      <c r="A158" s="16">
        <v>7</v>
      </c>
      <c r="B158" s="15">
        <f t="shared" si="165"/>
        <v>41091</v>
      </c>
      <c r="C158" s="244">
        <f t="shared" si="169"/>
        <v>41124</v>
      </c>
      <c r="D158" s="244">
        <f t="shared" si="169"/>
        <v>41141</v>
      </c>
      <c r="E158" s="161" t="s">
        <v>204</v>
      </c>
      <c r="F158" s="3">
        <v>9</v>
      </c>
      <c r="G158" s="73">
        <v>147</v>
      </c>
      <c r="H158" s="249">
        <f aca="true" t="shared" si="177" ref="H158:H163">$K$8</f>
        <v>1.14</v>
      </c>
      <c r="I158" s="249">
        <f aca="true" t="shared" si="178" ref="I158:I163">J$8</f>
        <v>1.93</v>
      </c>
      <c r="J158" s="56">
        <f t="shared" si="166"/>
        <v>283.71</v>
      </c>
      <c r="K158" s="57">
        <f t="shared" si="171"/>
        <v>167.57999999999998</v>
      </c>
      <c r="L158" s="79">
        <f t="shared" si="174"/>
        <v>116.13</v>
      </c>
      <c r="M158" s="77">
        <f t="shared" si="143"/>
        <v>3.2907847513577995</v>
      </c>
      <c r="N158" s="78">
        <f t="shared" si="175"/>
        <v>119.4207847513578</v>
      </c>
      <c r="O158" s="16">
        <f t="shared" si="176"/>
        <v>0</v>
      </c>
      <c r="P158" s="16">
        <f t="shared" si="176"/>
        <v>0</v>
      </c>
      <c r="Q158" s="16">
        <f t="shared" si="176"/>
        <v>42</v>
      </c>
      <c r="R158" s="16">
        <f t="shared" si="176"/>
        <v>92</v>
      </c>
      <c r="S158" s="16">
        <f t="shared" si="176"/>
        <v>90</v>
      </c>
      <c r="T158" s="16">
        <f t="shared" si="176"/>
        <v>91</v>
      </c>
      <c r="U158" s="16">
        <f t="shared" si="176"/>
        <v>0</v>
      </c>
      <c r="V158" s="110">
        <f t="shared" si="172"/>
        <v>0</v>
      </c>
      <c r="W158" s="154">
        <f t="shared" si="173"/>
        <v>0</v>
      </c>
      <c r="X158" s="63">
        <f>($L158+SUM($W158:W158))*(P$11*P158)</f>
        <v>0</v>
      </c>
      <c r="Y158" s="63">
        <f>($L158+SUM($W158:X158))*(Q$11*Q158)</f>
        <v>0.43429438356164385</v>
      </c>
      <c r="Z158" s="63">
        <f>($L158+SUM($W158:Y158))*(R$11*R158)</f>
        <v>0.9548691512516418</v>
      </c>
      <c r="AA158" s="63">
        <f>($L158+SUM($W158:Z158))*(S$11*S158)</f>
        <v>0.9417631598337777</v>
      </c>
      <c r="AB158" s="63">
        <f>($L158+SUM($W158:AA158))*(T$11*T158)</f>
        <v>0.9598580567107361</v>
      </c>
      <c r="AC158" s="63">
        <f>($L158+SUM($W158:AB158))*(U$11*U158)</f>
        <v>0</v>
      </c>
      <c r="AD158" s="63">
        <f>($L158+SUM($W158:AB158))*(V$11*V158)</f>
        <v>0</v>
      </c>
      <c r="AE158" s="114">
        <f t="shared" si="168"/>
        <v>3.2907847513577995</v>
      </c>
    </row>
    <row r="159" spans="1:34" ht="12.75">
      <c r="A159" s="3">
        <v>8</v>
      </c>
      <c r="B159" s="15">
        <f t="shared" si="165"/>
        <v>41122</v>
      </c>
      <c r="C159" s="244">
        <f t="shared" si="169"/>
        <v>41158</v>
      </c>
      <c r="D159" s="244">
        <f t="shared" si="169"/>
        <v>41173</v>
      </c>
      <c r="E159" s="161" t="s">
        <v>204</v>
      </c>
      <c r="F159" s="16">
        <v>9</v>
      </c>
      <c r="G159" s="73">
        <v>155</v>
      </c>
      <c r="H159" s="249">
        <f t="shared" si="177"/>
        <v>1.14</v>
      </c>
      <c r="I159" s="249">
        <f t="shared" si="178"/>
        <v>1.93</v>
      </c>
      <c r="J159" s="56">
        <f t="shared" si="166"/>
        <v>299.15</v>
      </c>
      <c r="K159" s="57">
        <f t="shared" si="171"/>
        <v>176.7</v>
      </c>
      <c r="L159" s="79">
        <f t="shared" si="174"/>
        <v>122.44999999999999</v>
      </c>
      <c r="M159" s="77">
        <f t="shared" si="143"/>
        <v>3.1124264404530435</v>
      </c>
      <c r="N159" s="78">
        <f t="shared" si="175"/>
        <v>125.56242644045304</v>
      </c>
      <c r="O159" s="16">
        <f t="shared" si="176"/>
        <v>0</v>
      </c>
      <c r="P159" s="16">
        <f t="shared" si="176"/>
        <v>0</v>
      </c>
      <c r="Q159" s="16">
        <f t="shared" si="176"/>
        <v>10</v>
      </c>
      <c r="R159" s="16">
        <f t="shared" si="176"/>
        <v>92</v>
      </c>
      <c r="S159" s="16">
        <f t="shared" si="176"/>
        <v>90</v>
      </c>
      <c r="T159" s="16">
        <f t="shared" si="176"/>
        <v>91</v>
      </c>
      <c r="U159" s="16">
        <f t="shared" si="176"/>
        <v>0</v>
      </c>
      <c r="V159" s="110">
        <f t="shared" si="172"/>
        <v>0</v>
      </c>
      <c r="W159" s="154">
        <f t="shared" si="173"/>
        <v>0</v>
      </c>
      <c r="X159" s="63">
        <f>($L159+SUM($W159:W159))*(P$11*P159)</f>
        <v>0</v>
      </c>
      <c r="Y159" s="63">
        <f>($L159+SUM($W159:X159))*(Q$11*Q159)</f>
        <v>0.1090308219178082</v>
      </c>
      <c r="Z159" s="63">
        <f>($L159+SUM($W159:Y159))*(R$11*R159)</f>
        <v>1.0039767182398196</v>
      </c>
      <c r="AA159" s="63">
        <f>($L159+SUM($W159:Z159))*(S$11*S159)</f>
        <v>0.9901967042601671</v>
      </c>
      <c r="AB159" s="63">
        <f>($L159+SUM($W159:AA159))*(T$11*T159)</f>
        <v>1.0092221960352483</v>
      </c>
      <c r="AC159" s="63">
        <f>($L159+SUM($W159:AB159))*(U$11*U159)</f>
        <v>0</v>
      </c>
      <c r="AD159" s="63">
        <f>($L159+SUM($W159:AB159))*(V$11*V159)</f>
        <v>0</v>
      </c>
      <c r="AE159" s="114">
        <f t="shared" si="168"/>
        <v>3.1124264404530435</v>
      </c>
      <c r="AF159" s="13"/>
      <c r="AG159" s="13"/>
      <c r="AH159" s="13"/>
    </row>
    <row r="160" spans="1:31" ht="12.75">
      <c r="A160" s="3">
        <v>9</v>
      </c>
      <c r="B160" s="15">
        <f t="shared" si="165"/>
        <v>41153</v>
      </c>
      <c r="C160" s="244">
        <f t="shared" si="169"/>
        <v>41185</v>
      </c>
      <c r="D160" s="244">
        <f t="shared" si="169"/>
        <v>41200</v>
      </c>
      <c r="E160" s="161" t="s">
        <v>204</v>
      </c>
      <c r="F160" s="16">
        <v>9</v>
      </c>
      <c r="G160" s="73">
        <v>147</v>
      </c>
      <c r="H160" s="249">
        <f t="shared" si="177"/>
        <v>1.14</v>
      </c>
      <c r="I160" s="249">
        <f t="shared" si="178"/>
        <v>1.93</v>
      </c>
      <c r="J160" s="56">
        <f t="shared" si="166"/>
        <v>283.71</v>
      </c>
      <c r="K160" s="57">
        <f t="shared" si="171"/>
        <v>167.57999999999998</v>
      </c>
      <c r="L160" s="79">
        <f t="shared" si="174"/>
        <v>116.13</v>
      </c>
      <c r="M160" s="77">
        <f t="shared" si="143"/>
        <v>2.667217399601509</v>
      </c>
      <c r="N160" s="78">
        <f t="shared" si="175"/>
        <v>118.79721739960151</v>
      </c>
      <c r="O160" s="16">
        <f aca="true" t="shared" si="179" ref="O160:U171">IF($D160&lt;O$8,O$12,IF($D160&lt;P$8,P$8-$D160,0))</f>
        <v>0</v>
      </c>
      <c r="P160" s="16">
        <f t="shared" si="179"/>
        <v>0</v>
      </c>
      <c r="Q160" s="16">
        <f t="shared" si="179"/>
        <v>0</v>
      </c>
      <c r="R160" s="16">
        <f t="shared" si="179"/>
        <v>75</v>
      </c>
      <c r="S160" s="16">
        <f t="shared" si="179"/>
        <v>90</v>
      </c>
      <c r="T160" s="16">
        <f t="shared" si="179"/>
        <v>91</v>
      </c>
      <c r="U160" s="16">
        <f t="shared" si="179"/>
        <v>0</v>
      </c>
      <c r="V160" s="110">
        <f>IF(W$8&lt;V$8,0,IF($D160&lt;V$8,V$12,IF($D160&lt;W$8,W$8-$D160,0)))</f>
        <v>0</v>
      </c>
      <c r="W160" s="154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0.7755256849315069</v>
      </c>
      <c r="AA160" s="63">
        <f>($L160+SUM($W160:Z160))*(S$11*S160)</f>
        <v>0.9368456510367797</v>
      </c>
      <c r="AB160" s="63">
        <f>($L160+SUM($W160:AA160))*(T$11*T160)</f>
        <v>0.9548460636332224</v>
      </c>
      <c r="AC160" s="63">
        <f>($L160+SUM($W160:AB160))*(U$11*U160)</f>
        <v>0</v>
      </c>
      <c r="AD160" s="63">
        <f>($L160+SUM($W160:AB160))*(V$11*V160)</f>
        <v>0</v>
      </c>
      <c r="AE160" s="114">
        <f t="shared" si="168"/>
        <v>2.667217399601509</v>
      </c>
    </row>
    <row r="161" spans="1:31" ht="12.75">
      <c r="A161" s="16">
        <v>10</v>
      </c>
      <c r="B161" s="15">
        <f t="shared" si="165"/>
        <v>41183</v>
      </c>
      <c r="C161" s="244">
        <f t="shared" si="169"/>
        <v>41218</v>
      </c>
      <c r="D161" s="244">
        <f t="shared" si="169"/>
        <v>41233</v>
      </c>
      <c r="E161" s="161" t="s">
        <v>204</v>
      </c>
      <c r="F161" s="16">
        <v>9</v>
      </c>
      <c r="G161" s="73">
        <v>92</v>
      </c>
      <c r="H161" s="249">
        <f t="shared" si="177"/>
        <v>1.14</v>
      </c>
      <c r="I161" s="249">
        <f t="shared" si="178"/>
        <v>1.93</v>
      </c>
      <c r="J161" s="56">
        <f t="shared" si="166"/>
        <v>177.56</v>
      </c>
      <c r="K161" s="57">
        <f t="shared" si="171"/>
        <v>104.88</v>
      </c>
      <c r="L161" s="79">
        <f t="shared" si="174"/>
        <v>72.68</v>
      </c>
      <c r="M161" s="77">
        <f t="shared" si="143"/>
        <v>1.4522635015147543</v>
      </c>
      <c r="N161" s="78">
        <f t="shared" si="175"/>
        <v>74.13226350151476</v>
      </c>
      <c r="O161" s="16">
        <f t="shared" si="179"/>
        <v>0</v>
      </c>
      <c r="P161" s="16">
        <f t="shared" si="179"/>
        <v>0</v>
      </c>
      <c r="Q161" s="16">
        <f t="shared" si="179"/>
        <v>0</v>
      </c>
      <c r="R161" s="16">
        <f t="shared" si="179"/>
        <v>42</v>
      </c>
      <c r="S161" s="16">
        <f t="shared" si="179"/>
        <v>90</v>
      </c>
      <c r="T161" s="16">
        <f t="shared" si="179"/>
        <v>91</v>
      </c>
      <c r="U161" s="16">
        <f t="shared" si="179"/>
        <v>0</v>
      </c>
      <c r="V161" s="110">
        <f>IF(W$8&lt;V$8,0,IF($D161&lt;V$8,V$12,IF($D161&lt;W$8,W$8-$D161,0)))</f>
        <v>0</v>
      </c>
      <c r="W161" s="154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0.2718032876712329</v>
      </c>
      <c r="AA161" s="63">
        <f>($L161+SUM($W161:Z161))*(S$11*S161)</f>
        <v>0.5846137660724339</v>
      </c>
      <c r="AB161" s="63">
        <f>($L161+SUM($W161:AA161))*(T$11*T161)</f>
        <v>0.5958464477710874</v>
      </c>
      <c r="AC161" s="63">
        <f>($L161+SUM($W161:AB161))*(U$11*U161)</f>
        <v>0</v>
      </c>
      <c r="AD161" s="63">
        <f>($L161+SUM($W161:AB161))*(V$11*V161)</f>
        <v>0</v>
      </c>
      <c r="AE161" s="114">
        <f t="shared" si="168"/>
        <v>1.4522635015147543</v>
      </c>
    </row>
    <row r="162" spans="1:31" ht="12.75">
      <c r="A162" s="3">
        <v>11</v>
      </c>
      <c r="B162" s="15">
        <f t="shared" si="165"/>
        <v>41214</v>
      </c>
      <c r="C162" s="244">
        <f t="shared" si="169"/>
        <v>41248</v>
      </c>
      <c r="D162" s="244">
        <f t="shared" si="169"/>
        <v>41263</v>
      </c>
      <c r="E162" s="161" t="s">
        <v>204</v>
      </c>
      <c r="F162" s="16">
        <v>9</v>
      </c>
      <c r="G162" s="73">
        <v>85</v>
      </c>
      <c r="H162" s="249">
        <f t="shared" si="177"/>
        <v>1.14</v>
      </c>
      <c r="I162" s="249">
        <f t="shared" si="178"/>
        <v>1.93</v>
      </c>
      <c r="J162" s="56">
        <f t="shared" si="166"/>
        <v>164.04999999999998</v>
      </c>
      <c r="K162" s="57">
        <f t="shared" si="171"/>
        <v>96.89999999999999</v>
      </c>
      <c r="L162" s="79">
        <f t="shared" si="174"/>
        <v>67.14999999999999</v>
      </c>
      <c r="M162" s="77">
        <f t="shared" si="143"/>
        <v>1.1594893981818575</v>
      </c>
      <c r="N162" s="78">
        <f t="shared" si="175"/>
        <v>68.30948939818185</v>
      </c>
      <c r="O162" s="16">
        <f t="shared" si="179"/>
        <v>0</v>
      </c>
      <c r="P162" s="16">
        <f t="shared" si="179"/>
        <v>0</v>
      </c>
      <c r="Q162" s="16">
        <f t="shared" si="179"/>
        <v>0</v>
      </c>
      <c r="R162" s="16">
        <f t="shared" si="179"/>
        <v>12</v>
      </c>
      <c r="S162" s="16">
        <f t="shared" si="179"/>
        <v>90</v>
      </c>
      <c r="T162" s="16">
        <f t="shared" si="179"/>
        <v>91</v>
      </c>
      <c r="U162" s="16">
        <f t="shared" si="179"/>
        <v>0</v>
      </c>
      <c r="V162" s="110">
        <f>IF(W$8&lt;V$8,0,IF($D162&lt;V$8,V$12,IF($D162&lt;W$8,W$8-$D162,0)))</f>
        <v>0</v>
      </c>
      <c r="W162" s="154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0.07174931506849315</v>
      </c>
      <c r="AA162" s="63">
        <f>($L162+SUM($W162:Z162))*(S$11*S162)</f>
        <v>0.5386948404015761</v>
      </c>
      <c r="AB162" s="63">
        <f>($L162+SUM($W162:AA162))*(T$11*T162)</f>
        <v>0.5490452427117882</v>
      </c>
      <c r="AC162" s="63">
        <f>($L162+SUM($W162:AB162))*(U$11*U162)</f>
        <v>0</v>
      </c>
      <c r="AD162" s="63">
        <f>($L162+SUM($W162:AB162))*(V$11*V162)</f>
        <v>0</v>
      </c>
      <c r="AE162" s="114">
        <f t="shared" si="168"/>
        <v>1.1594893981818575</v>
      </c>
    </row>
    <row r="163" spans="1:31" s="70" customFormat="1" ht="12.75">
      <c r="A163" s="3">
        <v>12</v>
      </c>
      <c r="B163" s="86">
        <f t="shared" si="165"/>
        <v>41244</v>
      </c>
      <c r="C163" s="244">
        <f t="shared" si="169"/>
        <v>41278</v>
      </c>
      <c r="D163" s="244">
        <f t="shared" si="169"/>
        <v>41295</v>
      </c>
      <c r="E163" s="162" t="s">
        <v>204</v>
      </c>
      <c r="F163" s="83">
        <v>9</v>
      </c>
      <c r="G163" s="88">
        <v>89</v>
      </c>
      <c r="H163" s="250">
        <f t="shared" si="177"/>
        <v>1.14</v>
      </c>
      <c r="I163" s="250">
        <f t="shared" si="178"/>
        <v>1.93</v>
      </c>
      <c r="J163" s="89">
        <f t="shared" si="166"/>
        <v>171.76999999999998</v>
      </c>
      <c r="K163" s="308">
        <f t="shared" si="171"/>
        <v>101.46</v>
      </c>
      <c r="L163" s="91">
        <f t="shared" si="174"/>
        <v>70.30999999999999</v>
      </c>
      <c r="M163" s="92">
        <f t="shared" si="143"/>
        <v>1.0114880842700318</v>
      </c>
      <c r="N163" s="93">
        <f t="shared" si="175"/>
        <v>71.32148808427002</v>
      </c>
      <c r="O163" s="83">
        <f t="shared" si="179"/>
        <v>0</v>
      </c>
      <c r="P163" s="83">
        <f t="shared" si="179"/>
        <v>0</v>
      </c>
      <c r="Q163" s="83">
        <f t="shared" si="179"/>
        <v>0</v>
      </c>
      <c r="R163" s="83">
        <f t="shared" si="179"/>
        <v>0</v>
      </c>
      <c r="S163" s="83">
        <f t="shared" si="179"/>
        <v>70</v>
      </c>
      <c r="T163" s="83">
        <f t="shared" si="179"/>
        <v>91</v>
      </c>
      <c r="U163" s="83">
        <f t="shared" si="179"/>
        <v>0</v>
      </c>
      <c r="V163" s="111">
        <f>IF(W$8&lt;V$8,0,IF($D163&lt;V$8,V$12,IF($D163&lt;W$8,W$8-$D163,0)))</f>
        <v>0</v>
      </c>
      <c r="W163" s="155">
        <f>$L163*O$11*O163</f>
        <v>0</v>
      </c>
      <c r="X163" s="94">
        <f>($L163+SUM($W163:W163))*(P$11*P163)</f>
        <v>0</v>
      </c>
      <c r="Y163" s="94">
        <f>($L163+SUM($W163:X163))*(Q$11*Q163)</f>
        <v>0</v>
      </c>
      <c r="Z163" s="94">
        <f>($L163+SUM($W163:Y163))*(R$11*R163)</f>
        <v>0</v>
      </c>
      <c r="AA163" s="94">
        <f>($L163+SUM($W163:Z163))*(S$11*S163)</f>
        <v>0.43823356164383553</v>
      </c>
      <c r="AB163" s="94">
        <f>($L163+SUM($W163:AA163))*(T$11*T163)</f>
        <v>0.5732545226261963</v>
      </c>
      <c r="AC163" s="94">
        <f>($L163+SUM($W163:AB163))*(U$11*U163)</f>
        <v>0</v>
      </c>
      <c r="AD163" s="94">
        <f>($L163+SUM($W163:AB163))*(V$11*V163)</f>
        <v>0</v>
      </c>
      <c r="AE163" s="115">
        <f t="shared" si="168"/>
        <v>1.0114880842700318</v>
      </c>
    </row>
    <row r="164" spans="1:31" ht="12.75">
      <c r="A164" s="16">
        <v>1</v>
      </c>
      <c r="B164" s="15">
        <f t="shared" si="165"/>
        <v>40909</v>
      </c>
      <c r="C164" s="243">
        <f t="shared" si="169"/>
        <v>40942</v>
      </c>
      <c r="D164" s="243">
        <f t="shared" si="169"/>
        <v>40959</v>
      </c>
      <c r="E164" s="121" t="s">
        <v>205</v>
      </c>
      <c r="F164" s="16">
        <v>9</v>
      </c>
      <c r="G164" s="73">
        <v>10</v>
      </c>
      <c r="H164" s="249">
        <f aca="true" t="shared" si="180" ref="H164:H169">$K$3</f>
        <v>1.45</v>
      </c>
      <c r="I164" s="249">
        <f aca="true" t="shared" si="181" ref="I164:I181">$J$3</f>
        <v>1.93</v>
      </c>
      <c r="J164" s="56">
        <f t="shared" si="166"/>
        <v>19.3</v>
      </c>
      <c r="K164" s="57">
        <f aca="true" t="shared" si="182" ref="K164:K175">+$G164*H164</f>
        <v>14.5</v>
      </c>
      <c r="L164" s="58">
        <f t="shared" si="174"/>
        <v>4.800000000000001</v>
      </c>
      <c r="M164" s="55">
        <f t="shared" si="143"/>
        <v>0.21633061338695478</v>
      </c>
      <c r="N164" s="29">
        <f t="shared" si="175"/>
        <v>5.016330613386955</v>
      </c>
      <c r="O164" s="16">
        <f t="shared" si="179"/>
        <v>41</v>
      </c>
      <c r="P164" s="16">
        <f t="shared" si="179"/>
        <v>91</v>
      </c>
      <c r="Q164" s="16">
        <f t="shared" si="179"/>
        <v>92</v>
      </c>
      <c r="R164" s="16">
        <f t="shared" si="179"/>
        <v>92</v>
      </c>
      <c r="S164" s="16">
        <f t="shared" si="179"/>
        <v>90</v>
      </c>
      <c r="T164" s="16">
        <f t="shared" si="179"/>
        <v>91</v>
      </c>
      <c r="U164" s="16">
        <f t="shared" si="179"/>
        <v>0</v>
      </c>
      <c r="V164" s="110">
        <f aca="true" t="shared" si="183" ref="V164:V171">IF(W$8&lt;V$8,0,IF($D164&lt;V$8,V$12,IF($D164&lt;W$8,W$8-$D164,0)))</f>
        <v>0</v>
      </c>
      <c r="W164" s="154">
        <f aca="true" t="shared" si="184" ref="W164:W171">$L164*O$11*O164</f>
        <v>0.01752328767123288</v>
      </c>
      <c r="X164" s="63">
        <f>($L164+SUM($W164:W164))*(P$11*P164)</f>
        <v>0.03903513732407582</v>
      </c>
      <c r="Y164" s="63">
        <f>($L164+SUM($W164:X164))*(Q$11*Q164)</f>
        <v>0.03978386216639993</v>
      </c>
      <c r="Z164" s="63">
        <f>($L164+SUM($W164:Y164))*(R$11*R164)</f>
        <v>0.04010976284551646</v>
      </c>
      <c r="AA164" s="63">
        <f>($L164+SUM($W164:Z164))*(S$11*S164)</f>
        <v>0.03955923903087982</v>
      </c>
      <c r="AB164" s="63">
        <f>($L164+SUM($W164:AA164))*(T$11*T164)</f>
        <v>0.040319324348849855</v>
      </c>
      <c r="AC164" s="63">
        <f>($L164+SUM($W164:AB164))*(U$11*U164)</f>
        <v>0</v>
      </c>
      <c r="AD164" s="63">
        <f>($L164+SUM($W164:AB164))*(V$11*V164)</f>
        <v>0</v>
      </c>
      <c r="AE164" s="114">
        <f aca="true" t="shared" si="185" ref="AE164:AE175">SUM(W164:AD164)</f>
        <v>0.21633061338695478</v>
      </c>
    </row>
    <row r="165" spans="1:31" ht="12.75">
      <c r="A165" s="3">
        <v>2</v>
      </c>
      <c r="B165" s="15">
        <f t="shared" si="165"/>
        <v>40940</v>
      </c>
      <c r="C165" s="244">
        <f t="shared" si="169"/>
        <v>40973</v>
      </c>
      <c r="D165" s="244">
        <f t="shared" si="169"/>
        <v>40988</v>
      </c>
      <c r="E165" s="161" t="s">
        <v>205</v>
      </c>
      <c r="F165" s="3">
        <v>9</v>
      </c>
      <c r="G165" s="73">
        <v>9</v>
      </c>
      <c r="H165" s="249">
        <f t="shared" si="180"/>
        <v>1.45</v>
      </c>
      <c r="I165" s="249">
        <f t="shared" si="181"/>
        <v>1.93</v>
      </c>
      <c r="J165" s="56">
        <f t="shared" si="166"/>
        <v>17.37</v>
      </c>
      <c r="K165" s="57">
        <f t="shared" si="182"/>
        <v>13.049999999999999</v>
      </c>
      <c r="L165" s="58">
        <f t="shared" si="174"/>
        <v>4.320000000000002</v>
      </c>
      <c r="M165" s="55">
        <f t="shared" si="143"/>
        <v>0.18308214134130463</v>
      </c>
      <c r="N165" s="29">
        <f t="shared" si="175"/>
        <v>4.503082141341307</v>
      </c>
      <c r="O165" s="16">
        <f t="shared" si="179"/>
        <v>12</v>
      </c>
      <c r="P165" s="16">
        <f t="shared" si="179"/>
        <v>91</v>
      </c>
      <c r="Q165" s="16">
        <f t="shared" si="179"/>
        <v>92</v>
      </c>
      <c r="R165" s="16">
        <f t="shared" si="179"/>
        <v>92</v>
      </c>
      <c r="S165" s="16">
        <f t="shared" si="179"/>
        <v>90</v>
      </c>
      <c r="T165" s="16">
        <f t="shared" si="179"/>
        <v>91</v>
      </c>
      <c r="U165" s="16">
        <f t="shared" si="179"/>
        <v>0</v>
      </c>
      <c r="V165" s="110">
        <f t="shared" si="183"/>
        <v>0</v>
      </c>
      <c r="W165" s="154">
        <f t="shared" si="184"/>
        <v>0.004615890410958907</v>
      </c>
      <c r="X165" s="63">
        <f>($L165+SUM($W165:W165))*(P$11*P165)</f>
        <v>0.03504123697504224</v>
      </c>
      <c r="Y165" s="63">
        <f>($L165+SUM($W165:X165))*(Q$11*Q165)</f>
        <v>0.035713355646257945</v>
      </c>
      <c r="Z165" s="63">
        <f>($L165+SUM($W165:Y165))*(R$11*R165)</f>
        <v>0.03600591162812729</v>
      </c>
      <c r="AA165" s="63">
        <f>($L165+SUM($W165:Z165))*(S$11*S165)</f>
        <v>0.035511714943511324</v>
      </c>
      <c r="AB165" s="63">
        <f>($L165+SUM($W165:AA165))*(T$11*T165)</f>
        <v>0.03619403173740694</v>
      </c>
      <c r="AC165" s="63">
        <f>($L165+SUM($W165:AB165))*(U$11*U165)</f>
        <v>0</v>
      </c>
      <c r="AD165" s="63">
        <f>($L165+SUM($W165:AB165))*(V$11*V165)</f>
        <v>0</v>
      </c>
      <c r="AE165" s="114">
        <f t="shared" si="185"/>
        <v>0.18308214134130463</v>
      </c>
    </row>
    <row r="166" spans="1:31" ht="12.75">
      <c r="A166" s="3">
        <v>3</v>
      </c>
      <c r="B166" s="15">
        <f t="shared" si="165"/>
        <v>40969</v>
      </c>
      <c r="C166" s="244">
        <f t="shared" si="169"/>
        <v>41003</v>
      </c>
      <c r="D166" s="244">
        <f t="shared" si="169"/>
        <v>41018</v>
      </c>
      <c r="E166" s="161" t="s">
        <v>205</v>
      </c>
      <c r="F166" s="3">
        <v>9</v>
      </c>
      <c r="G166" s="73">
        <v>10</v>
      </c>
      <c r="H166" s="249">
        <f t="shared" si="180"/>
        <v>1.45</v>
      </c>
      <c r="I166" s="249">
        <f t="shared" si="181"/>
        <v>1.93</v>
      </c>
      <c r="J166" s="56">
        <f t="shared" si="166"/>
        <v>19.3</v>
      </c>
      <c r="K166" s="57">
        <f t="shared" si="182"/>
        <v>14.5</v>
      </c>
      <c r="L166" s="58">
        <f>+J166-K166</f>
        <v>4.800000000000001</v>
      </c>
      <c r="M166" s="55">
        <f t="shared" si="143"/>
        <v>0.19013794102939596</v>
      </c>
      <c r="N166" s="29">
        <f>SUM(L166:M166)</f>
        <v>4.9901379410293965</v>
      </c>
      <c r="O166" s="16">
        <f t="shared" si="179"/>
        <v>0</v>
      </c>
      <c r="P166" s="16">
        <f t="shared" si="179"/>
        <v>73</v>
      </c>
      <c r="Q166" s="16">
        <f t="shared" si="179"/>
        <v>92</v>
      </c>
      <c r="R166" s="16">
        <f t="shared" si="179"/>
        <v>92</v>
      </c>
      <c r="S166" s="16">
        <f t="shared" si="179"/>
        <v>90</v>
      </c>
      <c r="T166" s="16">
        <f t="shared" si="179"/>
        <v>91</v>
      </c>
      <c r="U166" s="16">
        <f t="shared" si="179"/>
        <v>0</v>
      </c>
      <c r="V166" s="110">
        <f t="shared" si="183"/>
        <v>0</v>
      </c>
      <c r="W166" s="154">
        <f t="shared" si="184"/>
        <v>0</v>
      </c>
      <c r="X166" s="63">
        <f>($L166+SUM($W166:W166))*(P$11*P166)</f>
        <v>0.031200000000000002</v>
      </c>
      <c r="Y166" s="63">
        <f>($L166+SUM($W166:X166))*(Q$11*Q166)</f>
        <v>0.03957613150684932</v>
      </c>
      <c r="Z166" s="63">
        <f>($L166+SUM($W166:Y166))*(R$11*R166)</f>
        <v>0.03990033050193282</v>
      </c>
      <c r="AA166" s="63">
        <f>($L166+SUM($W166:Z166))*(S$11*S166)</f>
        <v>0.039352681236645724</v>
      </c>
      <c r="AB166" s="63">
        <f>($L166+SUM($W166:AA166))*(T$11*T166)</f>
        <v>0.0401087977839681</v>
      </c>
      <c r="AC166" s="63">
        <f>($L166+SUM($W166:AB166))*(U$11*U166)</f>
        <v>0</v>
      </c>
      <c r="AD166" s="63">
        <f>($L166+SUM($W166:AB166))*(V$11*V166)</f>
        <v>0</v>
      </c>
      <c r="AE166" s="114">
        <f t="shared" si="185"/>
        <v>0.19013794102939596</v>
      </c>
    </row>
    <row r="167" spans="1:31" ht="12.75">
      <c r="A167" s="16">
        <v>4</v>
      </c>
      <c r="B167" s="15">
        <f t="shared" si="165"/>
        <v>41000</v>
      </c>
      <c r="C167" s="244">
        <f t="shared" si="169"/>
        <v>41032</v>
      </c>
      <c r="D167" s="244">
        <f t="shared" si="169"/>
        <v>41047</v>
      </c>
      <c r="E167" s="161" t="s">
        <v>205</v>
      </c>
      <c r="F167" s="3">
        <v>9</v>
      </c>
      <c r="G167" s="73">
        <v>11</v>
      </c>
      <c r="H167" s="249">
        <f t="shared" si="180"/>
        <v>1.45</v>
      </c>
      <c r="I167" s="249">
        <f t="shared" si="181"/>
        <v>1.93</v>
      </c>
      <c r="J167" s="56">
        <f t="shared" si="166"/>
        <v>21.23</v>
      </c>
      <c r="K167" s="57">
        <f t="shared" si="182"/>
        <v>15.95</v>
      </c>
      <c r="L167" s="58">
        <f aca="true" t="shared" si="186" ref="L167:L177">+J167-K167</f>
        <v>5.280000000000001</v>
      </c>
      <c r="M167" s="55">
        <f t="shared" si="143"/>
        <v>0.19506922892851727</v>
      </c>
      <c r="N167" s="29">
        <f aca="true" t="shared" si="187" ref="N167:N177">SUM(L167:M167)</f>
        <v>5.475069228928518</v>
      </c>
      <c r="O167" s="16">
        <f t="shared" si="179"/>
        <v>0</v>
      </c>
      <c r="P167" s="16">
        <f t="shared" si="179"/>
        <v>44</v>
      </c>
      <c r="Q167" s="16">
        <f t="shared" si="179"/>
        <v>92</v>
      </c>
      <c r="R167" s="16">
        <f t="shared" si="179"/>
        <v>92</v>
      </c>
      <c r="S167" s="16">
        <f t="shared" si="179"/>
        <v>90</v>
      </c>
      <c r="T167" s="16">
        <f t="shared" si="179"/>
        <v>91</v>
      </c>
      <c r="U167" s="16">
        <f t="shared" si="179"/>
        <v>0</v>
      </c>
      <c r="V167" s="110">
        <f t="shared" si="183"/>
        <v>0</v>
      </c>
      <c r="W167" s="154">
        <f t="shared" si="184"/>
        <v>0</v>
      </c>
      <c r="X167" s="63">
        <f>($L167+SUM($W167:W167))*(P$11*P167)</f>
        <v>0.020686027397260276</v>
      </c>
      <c r="Y167" s="63">
        <f>($L167+SUM($W167:X167))*(Q$11*Q167)</f>
        <v>0.04342205814224057</v>
      </c>
      <c r="Z167" s="63">
        <f>($L167+SUM($W167:Y167))*(R$11*R167)</f>
        <v>0.04377776212537838</v>
      </c>
      <c r="AA167" s="63">
        <f>($L167+SUM($W167:Z167))*(S$11*S167)</f>
        <v>0.043176893436766506</v>
      </c>
      <c r="AB167" s="63">
        <f>($L167+SUM($W167:AA167))*(T$11*T167)</f>
        <v>0.04400648782687156</v>
      </c>
      <c r="AC167" s="63">
        <f>($L167+SUM($W167:AB167))*(U$11*U167)</f>
        <v>0</v>
      </c>
      <c r="AD167" s="63">
        <f>($L167+SUM($W167:AB167))*(V$11*V167)</f>
        <v>0</v>
      </c>
      <c r="AE167" s="114">
        <f t="shared" si="185"/>
        <v>0.19506922892851727</v>
      </c>
    </row>
    <row r="168" spans="1:31" ht="12.75">
      <c r="A168" s="3">
        <v>5</v>
      </c>
      <c r="B168" s="15">
        <f t="shared" si="165"/>
        <v>41030</v>
      </c>
      <c r="C168" s="244">
        <f t="shared" si="169"/>
        <v>41065</v>
      </c>
      <c r="D168" s="244">
        <f t="shared" si="169"/>
        <v>41080</v>
      </c>
      <c r="E168" s="161" t="s">
        <v>205</v>
      </c>
      <c r="F168" s="3">
        <v>9</v>
      </c>
      <c r="G168" s="73">
        <v>15</v>
      </c>
      <c r="H168" s="249">
        <f t="shared" si="180"/>
        <v>1.45</v>
      </c>
      <c r="I168" s="249">
        <f t="shared" si="181"/>
        <v>1.93</v>
      </c>
      <c r="J168" s="56">
        <f t="shared" si="166"/>
        <v>28.95</v>
      </c>
      <c r="K168" s="57">
        <f t="shared" si="182"/>
        <v>21.75</v>
      </c>
      <c r="L168" s="58">
        <f t="shared" si="186"/>
        <v>7.199999999999999</v>
      </c>
      <c r="M168" s="55">
        <f t="shared" si="143"/>
        <v>0.2441513291944043</v>
      </c>
      <c r="N168" s="29">
        <f t="shared" si="187"/>
        <v>7.444151329194404</v>
      </c>
      <c r="O168" s="16">
        <f t="shared" si="179"/>
        <v>0</v>
      </c>
      <c r="P168" s="16">
        <f t="shared" si="179"/>
        <v>11</v>
      </c>
      <c r="Q168" s="16">
        <f t="shared" si="179"/>
        <v>92</v>
      </c>
      <c r="R168" s="16">
        <f t="shared" si="179"/>
        <v>92</v>
      </c>
      <c r="S168" s="16">
        <f t="shared" si="179"/>
        <v>90</v>
      </c>
      <c r="T168" s="16">
        <f t="shared" si="179"/>
        <v>91</v>
      </c>
      <c r="U168" s="16">
        <f t="shared" si="179"/>
        <v>0</v>
      </c>
      <c r="V168" s="110">
        <f t="shared" si="183"/>
        <v>0</v>
      </c>
      <c r="W168" s="154">
        <f t="shared" si="184"/>
        <v>0</v>
      </c>
      <c r="X168" s="63">
        <f>($L168+SUM($W168:W168))*(P$11*P168)</f>
        <v>0.007052054794520547</v>
      </c>
      <c r="Y168" s="63">
        <f>($L168+SUM($W168:X168))*(Q$11*Q168)</f>
        <v>0.05903859080502907</v>
      </c>
      <c r="Z168" s="63">
        <f>($L168+SUM($W168:Y168))*(R$11*R168)</f>
        <v>0.05952222200093876</v>
      </c>
      <c r="AA168" s="63">
        <f>($L168+SUM($W168:Z168))*(S$11*S168)</f>
        <v>0.05870525380200391</v>
      </c>
      <c r="AB168" s="63">
        <f>($L168+SUM($W168:AA168))*(T$11*T168)</f>
        <v>0.05983320779191197</v>
      </c>
      <c r="AC168" s="63">
        <f>($L168+SUM($W168:AB168))*(U$11*U168)</f>
        <v>0</v>
      </c>
      <c r="AD168" s="63">
        <f>($L168+SUM($W168:AB168))*(V$11*V168)</f>
        <v>0</v>
      </c>
      <c r="AE168" s="114">
        <f t="shared" si="185"/>
        <v>0.2441513291944043</v>
      </c>
    </row>
    <row r="169" spans="1:31" ht="12.75">
      <c r="A169" s="3">
        <v>6</v>
      </c>
      <c r="B169" s="15">
        <f t="shared" si="165"/>
        <v>41061</v>
      </c>
      <c r="C169" s="244">
        <f t="shared" si="169"/>
        <v>41095</v>
      </c>
      <c r="D169" s="244">
        <f t="shared" si="169"/>
        <v>41110</v>
      </c>
      <c r="E169" s="161" t="s">
        <v>205</v>
      </c>
      <c r="F169" s="3">
        <v>9</v>
      </c>
      <c r="G169" s="73">
        <v>13</v>
      </c>
      <c r="H169" s="249">
        <f t="shared" si="180"/>
        <v>1.45</v>
      </c>
      <c r="I169" s="249">
        <f t="shared" si="181"/>
        <v>1.93</v>
      </c>
      <c r="J169" s="56">
        <f t="shared" si="166"/>
        <v>25.09</v>
      </c>
      <c r="K169" s="76">
        <f t="shared" si="182"/>
        <v>18.849999999999998</v>
      </c>
      <c r="L169" s="79">
        <f t="shared" si="186"/>
        <v>6.240000000000002</v>
      </c>
      <c r="M169" s="80">
        <f t="shared" si="143"/>
        <v>0.19446955900553928</v>
      </c>
      <c r="N169" s="78">
        <f t="shared" si="187"/>
        <v>6.434469559005541</v>
      </c>
      <c r="O169" s="16">
        <f t="shared" si="179"/>
        <v>0</v>
      </c>
      <c r="P169" s="16">
        <f t="shared" si="179"/>
        <v>0</v>
      </c>
      <c r="Q169" s="16">
        <f t="shared" si="179"/>
        <v>73</v>
      </c>
      <c r="R169" s="16">
        <f t="shared" si="179"/>
        <v>92</v>
      </c>
      <c r="S169" s="16">
        <f t="shared" si="179"/>
        <v>90</v>
      </c>
      <c r="T169" s="16">
        <f t="shared" si="179"/>
        <v>91</v>
      </c>
      <c r="U169" s="16">
        <f t="shared" si="179"/>
        <v>0</v>
      </c>
      <c r="V169" s="110">
        <f t="shared" si="183"/>
        <v>0</v>
      </c>
      <c r="W169" s="154">
        <f t="shared" si="184"/>
        <v>0</v>
      </c>
      <c r="X169" s="63">
        <f>($L169+SUM($W169:W169))*(P$11*P169)</f>
        <v>0</v>
      </c>
      <c r="Y169" s="63">
        <f>($L169+SUM($W169:X169))*(Q$11*Q169)</f>
        <v>0.04056000000000001</v>
      </c>
      <c r="Z169" s="63">
        <f>($L169+SUM($W169:Y169))*(R$11*R169)</f>
        <v>0.05144897095890412</v>
      </c>
      <c r="AA169" s="63">
        <f>($L169+SUM($W169:Z169))*(S$11*S169)</f>
        <v>0.050742811616588494</v>
      </c>
      <c r="AB169" s="63">
        <f>($L169+SUM($W169:AA169))*(T$11*T169)</f>
        <v>0.05171777643004665</v>
      </c>
      <c r="AC169" s="63">
        <f>($L169+SUM($W169:AB169))*(U$11*U169)</f>
        <v>0</v>
      </c>
      <c r="AD169" s="63">
        <f>($L169+SUM($W169:AB169))*(V$11*V169)</f>
        <v>0</v>
      </c>
      <c r="AE169" s="114">
        <f t="shared" si="185"/>
        <v>0.19446955900553928</v>
      </c>
    </row>
    <row r="170" spans="1:31" ht="12.75">
      <c r="A170" s="16">
        <v>7</v>
      </c>
      <c r="B170" s="15">
        <f t="shared" si="165"/>
        <v>41091</v>
      </c>
      <c r="C170" s="244">
        <f t="shared" si="169"/>
        <v>41124</v>
      </c>
      <c r="D170" s="244">
        <f t="shared" si="169"/>
        <v>41141</v>
      </c>
      <c r="E170" s="161" t="s">
        <v>205</v>
      </c>
      <c r="F170" s="3">
        <v>9</v>
      </c>
      <c r="G170" s="73">
        <v>15</v>
      </c>
      <c r="H170" s="249">
        <f aca="true" t="shared" si="188" ref="H170:H175">$K$8</f>
        <v>1.14</v>
      </c>
      <c r="I170" s="249">
        <f aca="true" t="shared" si="189" ref="I170:I175">J$8</f>
        <v>1.93</v>
      </c>
      <c r="J170" s="56">
        <f t="shared" si="166"/>
        <v>28.95</v>
      </c>
      <c r="K170" s="76">
        <f t="shared" si="182"/>
        <v>17.099999999999998</v>
      </c>
      <c r="L170" s="79">
        <f t="shared" si="186"/>
        <v>11.850000000000001</v>
      </c>
      <c r="M170" s="77">
        <f t="shared" si="143"/>
        <v>0.33579436238344895</v>
      </c>
      <c r="N170" s="78">
        <f t="shared" si="187"/>
        <v>12.18579436238345</v>
      </c>
      <c r="O170" s="16">
        <f t="shared" si="179"/>
        <v>0</v>
      </c>
      <c r="P170" s="16">
        <f t="shared" si="179"/>
        <v>0</v>
      </c>
      <c r="Q170" s="16">
        <f t="shared" si="179"/>
        <v>42</v>
      </c>
      <c r="R170" s="16">
        <f t="shared" si="179"/>
        <v>92</v>
      </c>
      <c r="S170" s="16">
        <f t="shared" si="179"/>
        <v>90</v>
      </c>
      <c r="T170" s="16">
        <f t="shared" si="179"/>
        <v>91</v>
      </c>
      <c r="U170" s="16">
        <f t="shared" si="179"/>
        <v>0</v>
      </c>
      <c r="V170" s="110">
        <f t="shared" si="183"/>
        <v>0</v>
      </c>
      <c r="W170" s="154">
        <f t="shared" si="184"/>
        <v>0</v>
      </c>
      <c r="X170" s="63">
        <f>($L170+SUM($W170:W170))*(P$11*P170)</f>
        <v>0</v>
      </c>
      <c r="Y170" s="63">
        <f>($L170+SUM($W170:X170))*(Q$11*Q170)</f>
        <v>0.04431575342465754</v>
      </c>
      <c r="Z170" s="63">
        <f>($L170+SUM($W170:Y170))*(R$11*R170)</f>
        <v>0.09743562767873898</v>
      </c>
      <c r="AA170" s="63">
        <f>($L170+SUM($W170:Z170))*(S$11*S170)</f>
        <v>0.09609828161569162</v>
      </c>
      <c r="AB170" s="63">
        <f>($L170+SUM($W170:AA170))*(T$11*T170)</f>
        <v>0.09794469966436084</v>
      </c>
      <c r="AC170" s="63">
        <f>($L170+SUM($W170:AB170))*(U$11*U170)</f>
        <v>0</v>
      </c>
      <c r="AD170" s="63">
        <f>($L170+SUM($W170:AB170))*(V$11*V170)</f>
        <v>0</v>
      </c>
      <c r="AE170" s="114">
        <f t="shared" si="185"/>
        <v>0.33579436238344895</v>
      </c>
    </row>
    <row r="171" spans="1:34" ht="12.75">
      <c r="A171" s="3">
        <v>8</v>
      </c>
      <c r="B171" s="15">
        <f t="shared" si="165"/>
        <v>41122</v>
      </c>
      <c r="C171" s="244">
        <f t="shared" si="169"/>
        <v>41158</v>
      </c>
      <c r="D171" s="244">
        <f t="shared" si="169"/>
        <v>41173</v>
      </c>
      <c r="E171" s="161" t="s">
        <v>205</v>
      </c>
      <c r="F171" s="16">
        <v>9</v>
      </c>
      <c r="G171" s="73">
        <v>15</v>
      </c>
      <c r="H171" s="249">
        <f t="shared" si="188"/>
        <v>1.14</v>
      </c>
      <c r="I171" s="249">
        <f t="shared" si="189"/>
        <v>1.93</v>
      </c>
      <c r="J171" s="56">
        <f t="shared" si="166"/>
        <v>28.95</v>
      </c>
      <c r="K171" s="76">
        <f t="shared" si="182"/>
        <v>17.099999999999998</v>
      </c>
      <c r="L171" s="79">
        <f t="shared" si="186"/>
        <v>11.850000000000001</v>
      </c>
      <c r="M171" s="77">
        <f t="shared" si="143"/>
        <v>0.30120255875352037</v>
      </c>
      <c r="N171" s="78">
        <f t="shared" si="187"/>
        <v>12.151202558753521</v>
      </c>
      <c r="O171" s="16">
        <f t="shared" si="179"/>
        <v>0</v>
      </c>
      <c r="P171" s="16">
        <f t="shared" si="179"/>
        <v>0</v>
      </c>
      <c r="Q171" s="16">
        <f t="shared" si="179"/>
        <v>10</v>
      </c>
      <c r="R171" s="16">
        <f t="shared" si="179"/>
        <v>92</v>
      </c>
      <c r="S171" s="16">
        <f t="shared" si="179"/>
        <v>90</v>
      </c>
      <c r="T171" s="16">
        <f t="shared" si="179"/>
        <v>91</v>
      </c>
      <c r="U171" s="16">
        <f t="shared" si="179"/>
        <v>0</v>
      </c>
      <c r="V171" s="110">
        <f t="shared" si="183"/>
        <v>0</v>
      </c>
      <c r="W171" s="154">
        <f t="shared" si="184"/>
        <v>0</v>
      </c>
      <c r="X171" s="63">
        <f>($L171+SUM($W171:W171))*(P$11*P171)</f>
        <v>0</v>
      </c>
      <c r="Y171" s="63">
        <f>($L171+SUM($W171:X171))*(Q$11*Q171)</f>
        <v>0.0105513698630137</v>
      </c>
      <c r="Z171" s="63">
        <f>($L171+SUM($W171:Y171))*(R$11*R171)</f>
        <v>0.09715903724901483</v>
      </c>
      <c r="AA171" s="63">
        <f>($L171+SUM($W171:Z171))*(S$11*S171)</f>
        <v>0.09582548750904846</v>
      </c>
      <c r="AB171" s="63">
        <f>($L171+SUM($W171:AA171))*(T$11*T171)</f>
        <v>0.09766666413244339</v>
      </c>
      <c r="AC171" s="63">
        <f>($L171+SUM($W171:AB171))*(U$11*U171)</f>
        <v>0</v>
      </c>
      <c r="AD171" s="63">
        <f>($L171+SUM($W171:AB171))*(V$11*V171)</f>
        <v>0</v>
      </c>
      <c r="AE171" s="114">
        <f t="shared" si="185"/>
        <v>0.30120255875352037</v>
      </c>
      <c r="AF171" s="13"/>
      <c r="AG171" s="13"/>
      <c r="AH171" s="13"/>
    </row>
    <row r="172" spans="1:31" ht="12.75">
      <c r="A172" s="3">
        <v>9</v>
      </c>
      <c r="B172" s="15">
        <f t="shared" si="165"/>
        <v>41153</v>
      </c>
      <c r="C172" s="244">
        <f aca="true" t="shared" si="190" ref="C172:D175">+C160</f>
        <v>41185</v>
      </c>
      <c r="D172" s="244">
        <f t="shared" si="190"/>
        <v>41200</v>
      </c>
      <c r="E172" s="161" t="s">
        <v>205</v>
      </c>
      <c r="F172" s="16">
        <v>9</v>
      </c>
      <c r="G172" s="73">
        <v>15</v>
      </c>
      <c r="H172" s="249">
        <f t="shared" si="188"/>
        <v>1.14</v>
      </c>
      <c r="I172" s="249">
        <f t="shared" si="189"/>
        <v>1.93</v>
      </c>
      <c r="J172" s="56">
        <f t="shared" si="166"/>
        <v>28.95</v>
      </c>
      <c r="K172" s="76">
        <f t="shared" si="182"/>
        <v>17.099999999999998</v>
      </c>
      <c r="L172" s="79">
        <f t="shared" si="186"/>
        <v>11.850000000000001</v>
      </c>
      <c r="M172" s="77">
        <f t="shared" si="143"/>
        <v>0.2721650407756642</v>
      </c>
      <c r="N172" s="78">
        <f t="shared" si="187"/>
        <v>12.122165040775666</v>
      </c>
      <c r="O172" s="16">
        <f aca="true" t="shared" si="191" ref="O172:R175">IF($D172&lt;O$8,O$12,IF($D172&lt;P$8,P$8-$D172,0))</f>
        <v>0</v>
      </c>
      <c r="P172" s="16">
        <f t="shared" si="191"/>
        <v>0</v>
      </c>
      <c r="Q172" s="16">
        <f t="shared" si="191"/>
        <v>0</v>
      </c>
      <c r="R172" s="16">
        <f t="shared" si="191"/>
        <v>75</v>
      </c>
      <c r="S172" s="16">
        <f aca="true" t="shared" si="192" ref="S172:U175">IF($D172&lt;S$8,S$12,IF($D172&lt;T$8,T$8-$D172,0))</f>
        <v>90</v>
      </c>
      <c r="T172" s="16">
        <f t="shared" si="192"/>
        <v>91</v>
      </c>
      <c r="U172" s="16">
        <f t="shared" si="192"/>
        <v>0</v>
      </c>
      <c r="V172" s="110">
        <f>IF(W$8&lt;V$8,0,IF($D172&lt;V$8,V$12,IF($D172&lt;W$8,W$8-$D172,0)))</f>
        <v>0</v>
      </c>
      <c r="W172" s="154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0.07913527397260275</v>
      </c>
      <c r="AA172" s="63">
        <f>($L172+SUM($W172:Z172))*(S$11*S172)</f>
        <v>0.09559649500375304</v>
      </c>
      <c r="AB172" s="63">
        <f>($L172+SUM($W172:AA172))*(T$11*T172)</f>
        <v>0.09743327179930843</v>
      </c>
      <c r="AC172" s="63">
        <f>($L172+SUM($W172:AB172))*(U$11*U172)</f>
        <v>0</v>
      </c>
      <c r="AD172" s="63">
        <f>($L172+SUM($W172:AB172))*(V$11*V172)</f>
        <v>0</v>
      </c>
      <c r="AE172" s="114">
        <f t="shared" si="185"/>
        <v>0.2721650407756642</v>
      </c>
    </row>
    <row r="173" spans="1:31" ht="12.75">
      <c r="A173" s="16">
        <v>10</v>
      </c>
      <c r="B173" s="15">
        <f t="shared" si="165"/>
        <v>41183</v>
      </c>
      <c r="C173" s="244">
        <f t="shared" si="190"/>
        <v>41218</v>
      </c>
      <c r="D173" s="244">
        <f t="shared" si="190"/>
        <v>41233</v>
      </c>
      <c r="E173" s="161" t="s">
        <v>205</v>
      </c>
      <c r="F173" s="16">
        <v>9</v>
      </c>
      <c r="G173" s="73">
        <v>13</v>
      </c>
      <c r="H173" s="249">
        <f t="shared" si="188"/>
        <v>1.14</v>
      </c>
      <c r="I173" s="249">
        <f t="shared" si="189"/>
        <v>1.93</v>
      </c>
      <c r="J173" s="56">
        <f t="shared" si="166"/>
        <v>25.09</v>
      </c>
      <c r="K173" s="76">
        <f t="shared" si="182"/>
        <v>14.819999999999999</v>
      </c>
      <c r="L173" s="79">
        <f t="shared" si="186"/>
        <v>10.270000000000001</v>
      </c>
      <c r="M173" s="77">
        <f t="shared" si="143"/>
        <v>0.20521114695317183</v>
      </c>
      <c r="N173" s="78">
        <f t="shared" si="187"/>
        <v>10.475211146953173</v>
      </c>
      <c r="O173" s="16">
        <f t="shared" si="191"/>
        <v>0</v>
      </c>
      <c r="P173" s="16">
        <f t="shared" si="191"/>
        <v>0</v>
      </c>
      <c r="Q173" s="16">
        <f t="shared" si="191"/>
        <v>0</v>
      </c>
      <c r="R173" s="16">
        <f t="shared" si="191"/>
        <v>42</v>
      </c>
      <c r="S173" s="16">
        <f t="shared" si="192"/>
        <v>90</v>
      </c>
      <c r="T173" s="16">
        <f t="shared" si="192"/>
        <v>91</v>
      </c>
      <c r="U173" s="16">
        <f t="shared" si="192"/>
        <v>0</v>
      </c>
      <c r="V173" s="110">
        <f>IF(W$8&lt;V$8,0,IF($D173&lt;V$8,V$12,IF($D173&lt;W$8,W$8-$D173,0)))</f>
        <v>0</v>
      </c>
      <c r="W173" s="154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0.03840698630136987</v>
      </c>
      <c r="AA173" s="63">
        <f>($L173+SUM($W173:Z173))*(S$11*S173)</f>
        <v>0.08260846694501783</v>
      </c>
      <c r="AB173" s="63">
        <f>($L173+SUM($W173:AA173))*(T$11*T173)</f>
        <v>0.0841956937067841</v>
      </c>
      <c r="AC173" s="63">
        <f>($L173+SUM($W173:AB173))*(U$11*U173)</f>
        <v>0</v>
      </c>
      <c r="AD173" s="63">
        <f>($L173+SUM($W173:AB173))*(V$11*V173)</f>
        <v>0</v>
      </c>
      <c r="AE173" s="114">
        <f t="shared" si="185"/>
        <v>0.20521114695317183</v>
      </c>
    </row>
    <row r="174" spans="1:31" ht="12.75">
      <c r="A174" s="3">
        <v>11</v>
      </c>
      <c r="B174" s="15">
        <f t="shared" si="165"/>
        <v>41214</v>
      </c>
      <c r="C174" s="244">
        <f t="shared" si="190"/>
        <v>41248</v>
      </c>
      <c r="D174" s="244">
        <f t="shared" si="190"/>
        <v>41263</v>
      </c>
      <c r="E174" s="161" t="s">
        <v>205</v>
      </c>
      <c r="F174" s="16">
        <v>9</v>
      </c>
      <c r="G174" s="73">
        <v>9</v>
      </c>
      <c r="H174" s="249">
        <f t="shared" si="188"/>
        <v>1.14</v>
      </c>
      <c r="I174" s="249">
        <f t="shared" si="189"/>
        <v>1.93</v>
      </c>
      <c r="J174" s="56">
        <f t="shared" si="166"/>
        <v>17.37</v>
      </c>
      <c r="K174" s="76">
        <f t="shared" si="182"/>
        <v>10.26</v>
      </c>
      <c r="L174" s="79">
        <f t="shared" si="186"/>
        <v>7.110000000000001</v>
      </c>
      <c r="M174" s="77">
        <f t="shared" si="143"/>
        <v>0.12276946568984377</v>
      </c>
      <c r="N174" s="78">
        <f t="shared" si="187"/>
        <v>7.232769465689845</v>
      </c>
      <c r="O174" s="16">
        <f t="shared" si="191"/>
        <v>0</v>
      </c>
      <c r="P174" s="16">
        <f t="shared" si="191"/>
        <v>0</v>
      </c>
      <c r="Q174" s="16">
        <f t="shared" si="191"/>
        <v>0</v>
      </c>
      <c r="R174" s="16">
        <f t="shared" si="191"/>
        <v>12</v>
      </c>
      <c r="S174" s="16">
        <f t="shared" si="192"/>
        <v>90</v>
      </c>
      <c r="T174" s="16">
        <f t="shared" si="192"/>
        <v>91</v>
      </c>
      <c r="U174" s="16">
        <f t="shared" si="192"/>
        <v>0</v>
      </c>
      <c r="V174" s="110">
        <f>IF(W$8&lt;V$8,0,IF($D174&lt;V$8,V$12,IF($D174&lt;W$8,W$8-$D174,0)))</f>
        <v>0</v>
      </c>
      <c r="W174" s="154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0.007596986301369865</v>
      </c>
      <c r="AA174" s="63">
        <f>($L174+SUM($W174:Z174))*(S$11*S174)</f>
        <v>0.057038277218990435</v>
      </c>
      <c r="AB174" s="63">
        <f>($L174+SUM($W174:AA174))*(T$11*T174)</f>
        <v>0.05813420216948348</v>
      </c>
      <c r="AC174" s="63">
        <f>($L174+SUM($W174:AB174))*(U$11*U174)</f>
        <v>0</v>
      </c>
      <c r="AD174" s="63">
        <f>($L174+SUM($W174:AB174))*(V$11*V174)</f>
        <v>0</v>
      </c>
      <c r="AE174" s="114">
        <f t="shared" si="185"/>
        <v>0.12276946568984377</v>
      </c>
    </row>
    <row r="175" spans="1:31" s="70" customFormat="1" ht="12.75">
      <c r="A175" s="3">
        <v>12</v>
      </c>
      <c r="B175" s="86">
        <f t="shared" si="165"/>
        <v>41244</v>
      </c>
      <c r="C175" s="244">
        <f t="shared" si="190"/>
        <v>41278</v>
      </c>
      <c r="D175" s="244">
        <f t="shared" si="190"/>
        <v>41295</v>
      </c>
      <c r="E175" s="162" t="s">
        <v>205</v>
      </c>
      <c r="F175" s="83">
        <v>9</v>
      </c>
      <c r="G175" s="88">
        <v>11</v>
      </c>
      <c r="H175" s="250">
        <f t="shared" si="188"/>
        <v>1.14</v>
      </c>
      <c r="I175" s="250">
        <f t="shared" si="189"/>
        <v>1.93</v>
      </c>
      <c r="J175" s="89">
        <f t="shared" si="166"/>
        <v>21.23</v>
      </c>
      <c r="K175" s="90">
        <f t="shared" si="182"/>
        <v>12.54</v>
      </c>
      <c r="L175" s="91">
        <f t="shared" si="186"/>
        <v>8.690000000000001</v>
      </c>
      <c r="M175" s="92">
        <f t="shared" si="143"/>
        <v>0.12501538120191408</v>
      </c>
      <c r="N175" s="93">
        <f t="shared" si="187"/>
        <v>8.815015381201915</v>
      </c>
      <c r="O175" s="83">
        <f t="shared" si="191"/>
        <v>0</v>
      </c>
      <c r="P175" s="83">
        <f t="shared" si="191"/>
        <v>0</v>
      </c>
      <c r="Q175" s="83">
        <f t="shared" si="191"/>
        <v>0</v>
      </c>
      <c r="R175" s="83">
        <f t="shared" si="191"/>
        <v>0</v>
      </c>
      <c r="S175" s="83">
        <f t="shared" si="192"/>
        <v>70</v>
      </c>
      <c r="T175" s="83">
        <f t="shared" si="192"/>
        <v>91</v>
      </c>
      <c r="U175" s="83">
        <f t="shared" si="192"/>
        <v>0</v>
      </c>
      <c r="V175" s="111">
        <f>IF(W$8&lt;V$8,0,IF($D175&lt;V$8,V$12,IF($D175&lt;W$8,W$8-$D175,0)))</f>
        <v>0</v>
      </c>
      <c r="W175" s="155">
        <f>$L175*O$11*O175</f>
        <v>0</v>
      </c>
      <c r="X175" s="94">
        <f>($L175+SUM($W175:W175))*(P$11*P175)</f>
        <v>0</v>
      </c>
      <c r="Y175" s="94">
        <f>($L175+SUM($W175:X175))*(Q$11*Q175)</f>
        <v>0</v>
      </c>
      <c r="Z175" s="94">
        <f>($L175+SUM($W175:Y175))*(R$11*R175)</f>
        <v>0</v>
      </c>
      <c r="AA175" s="94">
        <f>($L175+SUM($W175:Z175))*(S$11*S175)</f>
        <v>0.054163698630136994</v>
      </c>
      <c r="AB175" s="94">
        <f>($L175+SUM($W175:AA175))*(T$11*T175)</f>
        <v>0.07085168257177708</v>
      </c>
      <c r="AC175" s="94">
        <f>($L175+SUM($W175:AB175))*(U$11*U175)</f>
        <v>0</v>
      </c>
      <c r="AD175" s="94">
        <f>($L175+SUM($W175:AB175))*(V$11*V175)</f>
        <v>0</v>
      </c>
      <c r="AE175" s="115">
        <f t="shared" si="185"/>
        <v>0.12501538120191408</v>
      </c>
    </row>
    <row r="176" spans="1:31" ht="12.75">
      <c r="A176" s="16">
        <v>1</v>
      </c>
      <c r="B176" s="15">
        <f t="shared" si="165"/>
        <v>40909</v>
      </c>
      <c r="C176" s="243">
        <f aca="true" t="shared" si="193" ref="C176:D187">+C152</f>
        <v>40942</v>
      </c>
      <c r="D176" s="243">
        <f t="shared" si="193"/>
        <v>40959</v>
      </c>
      <c r="E176" s="121" t="s">
        <v>206</v>
      </c>
      <c r="F176" s="3">
        <v>9</v>
      </c>
      <c r="G176" s="73">
        <v>23</v>
      </c>
      <c r="H176" s="249">
        <f aca="true" t="shared" si="194" ref="H176:H181">$K$3</f>
        <v>1.45</v>
      </c>
      <c r="I176" s="249">
        <f t="shared" si="181"/>
        <v>1.93</v>
      </c>
      <c r="J176" s="56">
        <f t="shared" si="166"/>
        <v>44.39</v>
      </c>
      <c r="K176" s="76">
        <f aca="true" t="shared" si="195" ref="K176:K187">+$G176*H176</f>
        <v>33.35</v>
      </c>
      <c r="L176" s="58">
        <f t="shared" si="186"/>
        <v>11.04</v>
      </c>
      <c r="M176" s="55">
        <f t="shared" si="143"/>
        <v>0.49756041078999586</v>
      </c>
      <c r="N176" s="29">
        <f t="shared" si="187"/>
        <v>11.537560410789995</v>
      </c>
      <c r="O176" s="16">
        <f aca="true" t="shared" si="196" ref="O176:Q187">IF($D176&lt;O$8,O$12,IF($D176&lt;P$8,P$8-$D176,0))</f>
        <v>41</v>
      </c>
      <c r="P176" s="16">
        <f t="shared" si="196"/>
        <v>91</v>
      </c>
      <c r="Q176" s="16">
        <f t="shared" si="196"/>
        <v>92</v>
      </c>
      <c r="R176" s="16">
        <f aca="true" t="shared" si="197" ref="R176:U195">IF($D176&lt;R$8,R$12,IF($D176&lt;S$8,S$8-$D176,0))</f>
        <v>92</v>
      </c>
      <c r="S176" s="16">
        <f t="shared" si="197"/>
        <v>90</v>
      </c>
      <c r="T176" s="16">
        <f t="shared" si="197"/>
        <v>91</v>
      </c>
      <c r="U176" s="16">
        <f t="shared" si="197"/>
        <v>0</v>
      </c>
      <c r="V176" s="110">
        <f aca="true" t="shared" si="198" ref="V176:V187">IF(W$8&lt;V$8,0,IF($D176&lt;V$8,V$12,IF($D176&lt;W$8,W$8-$D176,0)))</f>
        <v>0</v>
      </c>
      <c r="W176" s="154">
        <f aca="true" t="shared" si="199" ref="W176:W187">$L176*O$11*O176</f>
        <v>0.04030356164383561</v>
      </c>
      <c r="X176" s="63">
        <f>($L176+SUM($W176:W176))*(P$11*P176)</f>
        <v>0.08978081584537435</v>
      </c>
      <c r="Y176" s="63">
        <f>($L176+SUM($W176:X176))*(Q$11*Q176)</f>
        <v>0.09150288298271982</v>
      </c>
      <c r="Z176" s="63">
        <f>($L176+SUM($W176:Y176))*(R$11*R176)</f>
        <v>0.09225245454468785</v>
      </c>
      <c r="AA176" s="63">
        <f>($L176+SUM($W176:Z176))*(S$11*S176)</f>
        <v>0.09098624977102357</v>
      </c>
      <c r="AB176" s="63">
        <f>($L176+SUM($W176:AA176))*(T$11*T176)</f>
        <v>0.09273444600235464</v>
      </c>
      <c r="AC176" s="63">
        <f>($L176+SUM($W176:AB176))*(U$11*U176)</f>
        <v>0</v>
      </c>
      <c r="AD176" s="63">
        <f>($L176+SUM($W176:AB176))*(V$11*V176)</f>
        <v>0</v>
      </c>
      <c r="AE176" s="114">
        <f>SUM(W176:AD176)</f>
        <v>0.49756041078999586</v>
      </c>
    </row>
    <row r="177" spans="1:31" ht="12.75">
      <c r="A177" s="3">
        <v>2</v>
      </c>
      <c r="B177" s="15">
        <f t="shared" si="165"/>
        <v>40940</v>
      </c>
      <c r="C177" s="244">
        <f t="shared" si="193"/>
        <v>40973</v>
      </c>
      <c r="D177" s="244">
        <f t="shared" si="193"/>
        <v>40988</v>
      </c>
      <c r="E177" s="30" t="s">
        <v>206</v>
      </c>
      <c r="F177" s="3">
        <v>9</v>
      </c>
      <c r="G177" s="73">
        <v>23</v>
      </c>
      <c r="H177" s="249">
        <f t="shared" si="194"/>
        <v>1.45</v>
      </c>
      <c r="I177" s="249">
        <f t="shared" si="181"/>
        <v>1.93</v>
      </c>
      <c r="J177" s="56">
        <f t="shared" si="166"/>
        <v>44.39</v>
      </c>
      <c r="K177" s="76">
        <f t="shared" si="195"/>
        <v>33.35</v>
      </c>
      <c r="L177" s="58">
        <f t="shared" si="186"/>
        <v>11.04</v>
      </c>
      <c r="M177" s="55">
        <f t="shared" si="143"/>
        <v>0.4678765834277783</v>
      </c>
      <c r="N177" s="29">
        <f t="shared" si="187"/>
        <v>11.507876583427777</v>
      </c>
      <c r="O177" s="16">
        <f t="shared" si="196"/>
        <v>12</v>
      </c>
      <c r="P177" s="16">
        <f t="shared" si="196"/>
        <v>91</v>
      </c>
      <c r="Q177" s="16">
        <f t="shared" si="196"/>
        <v>92</v>
      </c>
      <c r="R177" s="16">
        <f t="shared" si="197"/>
        <v>92</v>
      </c>
      <c r="S177" s="16">
        <f t="shared" si="197"/>
        <v>90</v>
      </c>
      <c r="T177" s="16">
        <f t="shared" si="197"/>
        <v>91</v>
      </c>
      <c r="U177" s="16">
        <f t="shared" si="197"/>
        <v>0</v>
      </c>
      <c r="V177" s="110">
        <f t="shared" si="198"/>
        <v>0</v>
      </c>
      <c r="W177" s="154">
        <f t="shared" si="199"/>
        <v>0.011796164383561642</v>
      </c>
      <c r="X177" s="63">
        <f>($L177+SUM($W177:W177))*(P$11*P177)</f>
        <v>0.0895498278251079</v>
      </c>
      <c r="Y177" s="63">
        <f>($L177+SUM($W177:X177))*(Q$11*Q177)</f>
        <v>0.09126746442932579</v>
      </c>
      <c r="Z177" s="63">
        <f>($L177+SUM($W177:Y177))*(R$11*R177)</f>
        <v>0.09201510749410301</v>
      </c>
      <c r="AA177" s="63">
        <f>($L177+SUM($W177:Z177))*(S$11*S177)</f>
        <v>0.09075216041119558</v>
      </c>
      <c r="AB177" s="63">
        <f>($L177+SUM($W177:AA177))*(T$11*T177)</f>
        <v>0.09249585888448436</v>
      </c>
      <c r="AC177" s="63">
        <f>($L177+SUM($W177:AB177))*(U$11*U177)</f>
        <v>0</v>
      </c>
      <c r="AD177" s="63">
        <f>($L177+SUM($W177:AB177))*(V$11*V177)</f>
        <v>0</v>
      </c>
      <c r="AE177" s="114">
        <f aca="true" t="shared" si="200" ref="AE177:AE187">SUM(W177:AD177)</f>
        <v>0.4678765834277783</v>
      </c>
    </row>
    <row r="178" spans="1:31" ht="12.75">
      <c r="A178" s="3">
        <v>3</v>
      </c>
      <c r="B178" s="15">
        <f t="shared" si="165"/>
        <v>40969</v>
      </c>
      <c r="C178" s="244">
        <f t="shared" si="193"/>
        <v>41003</v>
      </c>
      <c r="D178" s="244">
        <f t="shared" si="193"/>
        <v>41018</v>
      </c>
      <c r="E178" s="30" t="s">
        <v>206</v>
      </c>
      <c r="F178" s="3">
        <v>9</v>
      </c>
      <c r="G178" s="73">
        <v>22</v>
      </c>
      <c r="H178" s="249">
        <f t="shared" si="194"/>
        <v>1.45</v>
      </c>
      <c r="I178" s="249">
        <f t="shared" si="181"/>
        <v>1.93</v>
      </c>
      <c r="J178" s="56">
        <f t="shared" si="166"/>
        <v>42.46</v>
      </c>
      <c r="K178" s="76">
        <f t="shared" si="195"/>
        <v>31.9</v>
      </c>
      <c r="L178" s="58">
        <f>+J178-K178</f>
        <v>10.560000000000002</v>
      </c>
      <c r="M178" s="55">
        <f t="shared" si="143"/>
        <v>0.4183034702646712</v>
      </c>
      <c r="N178" s="29">
        <f>SUM(L178:M178)</f>
        <v>10.978303470264674</v>
      </c>
      <c r="O178" s="16">
        <f t="shared" si="196"/>
        <v>0</v>
      </c>
      <c r="P178" s="16">
        <f t="shared" si="196"/>
        <v>73</v>
      </c>
      <c r="Q178" s="16">
        <f t="shared" si="196"/>
        <v>92</v>
      </c>
      <c r="R178" s="16">
        <f t="shared" si="197"/>
        <v>92</v>
      </c>
      <c r="S178" s="16">
        <f t="shared" si="197"/>
        <v>90</v>
      </c>
      <c r="T178" s="16">
        <f t="shared" si="197"/>
        <v>91</v>
      </c>
      <c r="U178" s="16">
        <f t="shared" si="197"/>
        <v>0</v>
      </c>
      <c r="V178" s="110">
        <f t="shared" si="198"/>
        <v>0</v>
      </c>
      <c r="W178" s="154">
        <f t="shared" si="199"/>
        <v>0</v>
      </c>
      <c r="X178" s="63">
        <f>($L178+SUM($W178:W178))*(P$11*P178)</f>
        <v>0.06864</v>
      </c>
      <c r="Y178" s="63">
        <f>($L178+SUM($W178:X178))*(Q$11*Q178)</f>
        <v>0.08706748931506851</v>
      </c>
      <c r="Z178" s="63">
        <f>($L178+SUM($W178:Y178))*(R$11*R178)</f>
        <v>0.0877807271042522</v>
      </c>
      <c r="AA178" s="63">
        <f>($L178+SUM($W178:Z178))*(S$11*S178)</f>
        <v>0.08657589872062059</v>
      </c>
      <c r="AB178" s="63">
        <f>($L178+SUM($W178:AA178))*(T$11*T178)</f>
        <v>0.08823935512472983</v>
      </c>
      <c r="AC178" s="63">
        <f>($L178+SUM($W178:AB178))*(U$11*U178)</f>
        <v>0</v>
      </c>
      <c r="AD178" s="63">
        <f>($L178+SUM($W178:AB178))*(V$11*V178)</f>
        <v>0</v>
      </c>
      <c r="AE178" s="114">
        <f t="shared" si="200"/>
        <v>0.4183034702646712</v>
      </c>
    </row>
    <row r="179" spans="1:31" ht="12.75">
      <c r="A179" s="16">
        <v>4</v>
      </c>
      <c r="B179" s="15">
        <f t="shared" si="165"/>
        <v>41000</v>
      </c>
      <c r="C179" s="244">
        <f t="shared" si="193"/>
        <v>41032</v>
      </c>
      <c r="D179" s="244">
        <f t="shared" si="193"/>
        <v>41047</v>
      </c>
      <c r="E179" s="30" t="s">
        <v>206</v>
      </c>
      <c r="F179" s="3">
        <v>9</v>
      </c>
      <c r="G179" s="73">
        <v>26</v>
      </c>
      <c r="H179" s="249">
        <f t="shared" si="194"/>
        <v>1.45</v>
      </c>
      <c r="I179" s="249">
        <f t="shared" si="181"/>
        <v>1.93</v>
      </c>
      <c r="J179" s="56">
        <f t="shared" si="166"/>
        <v>50.18</v>
      </c>
      <c r="K179" s="76">
        <f t="shared" si="195"/>
        <v>37.699999999999996</v>
      </c>
      <c r="L179" s="58">
        <f aca="true" t="shared" si="201" ref="L179:L189">+J179-K179</f>
        <v>12.480000000000004</v>
      </c>
      <c r="M179" s="55">
        <f t="shared" si="143"/>
        <v>0.46107272292195006</v>
      </c>
      <c r="N179" s="29">
        <f aca="true" t="shared" si="202" ref="N179:N189">SUM(L179:M179)</f>
        <v>12.941072722921954</v>
      </c>
      <c r="O179" s="16">
        <f t="shared" si="196"/>
        <v>0</v>
      </c>
      <c r="P179" s="16">
        <f t="shared" si="196"/>
        <v>44</v>
      </c>
      <c r="Q179" s="16">
        <f t="shared" si="196"/>
        <v>92</v>
      </c>
      <c r="R179" s="16">
        <f>IF($D179&lt;R$8,R$12,IF($D179&lt;S$8,S$8-$D179,0))</f>
        <v>92</v>
      </c>
      <c r="S179" s="16">
        <f aca="true" t="shared" si="203" ref="S179:U183">IF($D179&lt;S$8,S$12,IF($D179&lt;T$8,T$8-$D179,0))</f>
        <v>90</v>
      </c>
      <c r="T179" s="16">
        <f t="shared" si="203"/>
        <v>91</v>
      </c>
      <c r="U179" s="16">
        <f t="shared" si="203"/>
        <v>0</v>
      </c>
      <c r="V179" s="110">
        <f>IF(W$8&lt;V$8,0,IF($D179&lt;V$8,V$12,IF($D179&lt;W$8,W$8-$D179,0)))</f>
        <v>0</v>
      </c>
      <c r="W179" s="154">
        <f>$L179*O$11*O179</f>
        <v>0</v>
      </c>
      <c r="X179" s="63">
        <f>($L179+SUM($W179:W179))*(P$11*P179)</f>
        <v>0.04889424657534248</v>
      </c>
      <c r="Y179" s="63">
        <f>($L179+SUM($W179:X179))*(Q$11*Q179)</f>
        <v>0.10263395560893228</v>
      </c>
      <c r="Z179" s="63">
        <f>($L179+SUM($W179:Y179))*(R$11*R179)</f>
        <v>0.1034747104781671</v>
      </c>
      <c r="AA179" s="63">
        <f>($L179+SUM($W179:Z179))*(S$11*S179)</f>
        <v>0.10205447539599358</v>
      </c>
      <c r="AB179" s="63">
        <f>($L179+SUM($W179:AA179))*(T$11*T179)</f>
        <v>0.10401533486351462</v>
      </c>
      <c r="AC179" s="63">
        <f>($L179+SUM($W179:AB179))*(U$11*U179)</f>
        <v>0</v>
      </c>
      <c r="AD179" s="63">
        <f>($L179+SUM($W179:AB179))*(V$11*V179)</f>
        <v>0</v>
      </c>
      <c r="AE179" s="114">
        <f>SUM(W179:AD179)</f>
        <v>0.46107272292195006</v>
      </c>
    </row>
    <row r="180" spans="1:31" ht="12.75">
      <c r="A180" s="3">
        <v>5</v>
      </c>
      <c r="B180" s="15">
        <f t="shared" si="165"/>
        <v>41030</v>
      </c>
      <c r="C180" s="244">
        <f t="shared" si="193"/>
        <v>41065</v>
      </c>
      <c r="D180" s="244">
        <f t="shared" si="193"/>
        <v>41080</v>
      </c>
      <c r="E180" s="30" t="s">
        <v>206</v>
      </c>
      <c r="F180" s="3">
        <v>9</v>
      </c>
      <c r="G180" s="73">
        <v>36</v>
      </c>
      <c r="H180" s="249">
        <f t="shared" si="194"/>
        <v>1.45</v>
      </c>
      <c r="I180" s="249">
        <f t="shared" si="181"/>
        <v>1.93</v>
      </c>
      <c r="J180" s="56">
        <f t="shared" si="166"/>
        <v>69.48</v>
      </c>
      <c r="K180" s="76">
        <f t="shared" si="195"/>
        <v>52.199999999999996</v>
      </c>
      <c r="L180" s="58">
        <f t="shared" si="201"/>
        <v>17.28000000000001</v>
      </c>
      <c r="M180" s="55">
        <f t="shared" si="143"/>
        <v>0.5859631900665705</v>
      </c>
      <c r="N180" s="29">
        <f t="shared" si="202"/>
        <v>17.86596319006658</v>
      </c>
      <c r="O180" s="16">
        <f t="shared" si="196"/>
        <v>0</v>
      </c>
      <c r="P180" s="16">
        <f t="shared" si="196"/>
        <v>11</v>
      </c>
      <c r="Q180" s="16">
        <f t="shared" si="196"/>
        <v>92</v>
      </c>
      <c r="R180" s="16">
        <f>IF($D180&lt;R$8,R$12,IF($D180&lt;S$8,S$8-$D180,0))</f>
        <v>92</v>
      </c>
      <c r="S180" s="16">
        <f t="shared" si="203"/>
        <v>90</v>
      </c>
      <c r="T180" s="16">
        <f t="shared" si="203"/>
        <v>91</v>
      </c>
      <c r="U180" s="16">
        <f t="shared" si="203"/>
        <v>0</v>
      </c>
      <c r="V180" s="110">
        <f>IF(W$8&lt;V$8,0,IF($D180&lt;V$8,V$12,IF($D180&lt;W$8,W$8-$D180,0)))</f>
        <v>0</v>
      </c>
      <c r="W180" s="154">
        <f>$L180*O$11*O180</f>
        <v>0</v>
      </c>
      <c r="X180" s="63">
        <f>($L180+SUM($W180:W180))*(P$11*P180)</f>
        <v>0.016924931506849324</v>
      </c>
      <c r="Y180" s="63">
        <f>($L180+SUM($W180:X180))*(Q$11*Q180)</f>
        <v>0.14169261793206986</v>
      </c>
      <c r="Z180" s="63">
        <f>($L180+SUM($W180:Y180))*(R$11*R180)</f>
        <v>0.14285333280225312</v>
      </c>
      <c r="AA180" s="63">
        <f>($L180+SUM($W180:Z180))*(S$11*S180)</f>
        <v>0.14089260912480944</v>
      </c>
      <c r="AB180" s="63">
        <f>($L180+SUM($W180:AA180))*(T$11*T180)</f>
        <v>0.1435996987005888</v>
      </c>
      <c r="AC180" s="63">
        <f>($L180+SUM($W180:AB180))*(U$11*U180)</f>
        <v>0</v>
      </c>
      <c r="AD180" s="63">
        <f>($L180+SUM($W180:AB180))*(V$11*V180)</f>
        <v>0</v>
      </c>
      <c r="AE180" s="114">
        <f>SUM(W180:AD180)</f>
        <v>0.5859631900665705</v>
      </c>
    </row>
    <row r="181" spans="1:31" ht="12.75">
      <c r="A181" s="3">
        <v>6</v>
      </c>
      <c r="B181" s="15">
        <f t="shared" si="165"/>
        <v>41061</v>
      </c>
      <c r="C181" s="244">
        <f t="shared" si="193"/>
        <v>41095</v>
      </c>
      <c r="D181" s="244">
        <f t="shared" si="193"/>
        <v>41110</v>
      </c>
      <c r="E181" s="30" t="s">
        <v>206</v>
      </c>
      <c r="F181" s="3">
        <v>9</v>
      </c>
      <c r="G181" s="73">
        <v>42</v>
      </c>
      <c r="H181" s="249">
        <f t="shared" si="194"/>
        <v>1.45</v>
      </c>
      <c r="I181" s="249">
        <f t="shared" si="181"/>
        <v>1.93</v>
      </c>
      <c r="J181" s="56">
        <f t="shared" si="166"/>
        <v>81.06</v>
      </c>
      <c r="K181" s="76">
        <f t="shared" si="195"/>
        <v>60.9</v>
      </c>
      <c r="L181" s="79">
        <f t="shared" si="201"/>
        <v>20.160000000000004</v>
      </c>
      <c r="M181" s="80">
        <f t="shared" si="143"/>
        <v>0.6282862675563574</v>
      </c>
      <c r="N181" s="78">
        <f t="shared" si="202"/>
        <v>20.788286267556362</v>
      </c>
      <c r="O181" s="16">
        <f t="shared" si="196"/>
        <v>0</v>
      </c>
      <c r="P181" s="16">
        <f t="shared" si="196"/>
        <v>0</v>
      </c>
      <c r="Q181" s="16">
        <f t="shared" si="196"/>
        <v>73</v>
      </c>
      <c r="R181" s="16">
        <f>IF($D181&lt;R$8,R$12,IF($D181&lt;S$8,S$8-$D181,0))</f>
        <v>92</v>
      </c>
      <c r="S181" s="16">
        <f t="shared" si="203"/>
        <v>90</v>
      </c>
      <c r="T181" s="16">
        <f t="shared" si="203"/>
        <v>91</v>
      </c>
      <c r="U181" s="16">
        <f t="shared" si="203"/>
        <v>0</v>
      </c>
      <c r="V181" s="110">
        <f>IF(W$8&lt;V$8,0,IF($D181&lt;V$8,V$12,IF($D181&lt;W$8,W$8-$D181,0)))</f>
        <v>0</v>
      </c>
      <c r="W181" s="154">
        <f>$L181*O$11*O181</f>
        <v>0</v>
      </c>
      <c r="X181" s="63">
        <f>($L181+SUM($W181:W181))*(P$11*P181)</f>
        <v>0</v>
      </c>
      <c r="Y181" s="63">
        <f>($L181+SUM($W181:X181))*(Q$11*Q181)</f>
        <v>0.13104000000000002</v>
      </c>
      <c r="Z181" s="63">
        <f>($L181+SUM($W181:Y181))*(R$11*R181)</f>
        <v>0.16621975232876712</v>
      </c>
      <c r="AA181" s="63">
        <f>($L181+SUM($W181:Z181))*(S$11*S181)</f>
        <v>0.16393831445359355</v>
      </c>
      <c r="AB181" s="63">
        <f>($L181+SUM($W181:AA181))*(T$11*T181)</f>
        <v>0.16708820077399683</v>
      </c>
      <c r="AC181" s="63">
        <f>($L181+SUM($W181:AB181))*(U$11*U181)</f>
        <v>0</v>
      </c>
      <c r="AD181" s="63">
        <f>($L181+SUM($W181:AB181))*(V$11*V181)</f>
        <v>0</v>
      </c>
      <c r="AE181" s="114">
        <f>SUM(W181:AD181)</f>
        <v>0.6282862675563574</v>
      </c>
    </row>
    <row r="182" spans="1:31" ht="12.75">
      <c r="A182" s="16">
        <v>7</v>
      </c>
      <c r="B182" s="15">
        <f t="shared" si="165"/>
        <v>41091</v>
      </c>
      <c r="C182" s="244">
        <f t="shared" si="193"/>
        <v>41124</v>
      </c>
      <c r="D182" s="244">
        <f t="shared" si="193"/>
        <v>41141</v>
      </c>
      <c r="E182" s="30" t="s">
        <v>206</v>
      </c>
      <c r="F182" s="3">
        <v>9</v>
      </c>
      <c r="G182" s="73">
        <v>42</v>
      </c>
      <c r="H182" s="249">
        <f aca="true" t="shared" si="204" ref="H182:H187">$K$8</f>
        <v>1.14</v>
      </c>
      <c r="I182" s="249">
        <f aca="true" t="shared" si="205" ref="I182:I187">J$8</f>
        <v>1.93</v>
      </c>
      <c r="J182" s="56">
        <f t="shared" si="166"/>
        <v>81.06</v>
      </c>
      <c r="K182" s="76">
        <f t="shared" si="195"/>
        <v>47.879999999999995</v>
      </c>
      <c r="L182" s="79">
        <f t="shared" si="201"/>
        <v>33.18000000000001</v>
      </c>
      <c r="M182" s="77">
        <f t="shared" si="143"/>
        <v>0.9402242146736572</v>
      </c>
      <c r="N182" s="78">
        <f t="shared" si="202"/>
        <v>34.12022421467366</v>
      </c>
      <c r="O182" s="16">
        <f t="shared" si="196"/>
        <v>0</v>
      </c>
      <c r="P182" s="16">
        <f t="shared" si="196"/>
        <v>0</v>
      </c>
      <c r="Q182" s="16">
        <f t="shared" si="196"/>
        <v>42</v>
      </c>
      <c r="R182" s="16">
        <f>IF($D182&lt;R$8,R$12,IF($D182&lt;S$8,S$8-$D182,0))</f>
        <v>92</v>
      </c>
      <c r="S182" s="16">
        <f t="shared" si="203"/>
        <v>90</v>
      </c>
      <c r="T182" s="16">
        <f t="shared" si="203"/>
        <v>91</v>
      </c>
      <c r="U182" s="16">
        <f t="shared" si="203"/>
        <v>0</v>
      </c>
      <c r="V182" s="110">
        <f>IF(W$8&lt;V$8,0,IF($D182&lt;V$8,V$12,IF($D182&lt;W$8,W$8-$D182,0)))</f>
        <v>0</v>
      </c>
      <c r="W182" s="154">
        <f>$L182*O$11*O182</f>
        <v>0</v>
      </c>
      <c r="X182" s="63">
        <f>($L182+SUM($W182:W182))*(P$11*P182)</f>
        <v>0</v>
      </c>
      <c r="Y182" s="63">
        <f>($L182+SUM($W182:X182))*(Q$11*Q182)</f>
        <v>0.12408410958904112</v>
      </c>
      <c r="Z182" s="63">
        <f>($L182+SUM($W182:Y182))*(R$11*R182)</f>
        <v>0.27281975750046916</v>
      </c>
      <c r="AA182" s="63">
        <f>($L182+SUM($W182:Z182))*(S$11*S182)</f>
        <v>0.2690751885239365</v>
      </c>
      <c r="AB182" s="63">
        <f>($L182+SUM($W182:AA182))*(T$11*T182)</f>
        <v>0.2742451590602104</v>
      </c>
      <c r="AC182" s="63">
        <f>($L182+SUM($W182:AB182))*(U$11*U182)</f>
        <v>0</v>
      </c>
      <c r="AD182" s="63">
        <f>($L182+SUM($W182:AB182))*(V$11*V182)</f>
        <v>0</v>
      </c>
      <c r="AE182" s="114">
        <f>SUM(W182:AD182)</f>
        <v>0.9402242146736572</v>
      </c>
    </row>
    <row r="183" spans="1:31" ht="12.75">
      <c r="A183" s="3">
        <v>8</v>
      </c>
      <c r="B183" s="15">
        <f t="shared" si="165"/>
        <v>41122</v>
      </c>
      <c r="C183" s="244">
        <f t="shared" si="193"/>
        <v>41158</v>
      </c>
      <c r="D183" s="244">
        <f t="shared" si="193"/>
        <v>41173</v>
      </c>
      <c r="E183" s="30" t="s">
        <v>206</v>
      </c>
      <c r="F183" s="3">
        <v>9</v>
      </c>
      <c r="G183" s="73">
        <v>63</v>
      </c>
      <c r="H183" s="249">
        <f t="shared" si="204"/>
        <v>1.14</v>
      </c>
      <c r="I183" s="249">
        <f t="shared" si="205"/>
        <v>1.93</v>
      </c>
      <c r="J183" s="56">
        <f t="shared" si="166"/>
        <v>121.58999999999999</v>
      </c>
      <c r="K183" s="76">
        <f t="shared" si="195"/>
        <v>71.82</v>
      </c>
      <c r="L183" s="79">
        <f t="shared" si="201"/>
        <v>49.769999999999996</v>
      </c>
      <c r="M183" s="77">
        <f t="shared" si="143"/>
        <v>1.2650507467647853</v>
      </c>
      <c r="N183" s="78">
        <f t="shared" si="202"/>
        <v>51.03505074676478</v>
      </c>
      <c r="O183" s="16">
        <f t="shared" si="196"/>
        <v>0</v>
      </c>
      <c r="P183" s="16">
        <f t="shared" si="196"/>
        <v>0</v>
      </c>
      <c r="Q183" s="16">
        <f t="shared" si="196"/>
        <v>10</v>
      </c>
      <c r="R183" s="16">
        <f>IF($D183&lt;R$8,R$12,IF($D183&lt;S$8,S$8-$D183,0))</f>
        <v>92</v>
      </c>
      <c r="S183" s="16">
        <f t="shared" si="203"/>
        <v>90</v>
      </c>
      <c r="T183" s="16">
        <f t="shared" si="203"/>
        <v>91</v>
      </c>
      <c r="U183" s="16">
        <f t="shared" si="203"/>
        <v>0</v>
      </c>
      <c r="V183" s="110">
        <f>IF(W$8&lt;V$8,0,IF($D183&lt;V$8,V$12,IF($D183&lt;W$8,W$8-$D183,0)))</f>
        <v>0</v>
      </c>
      <c r="W183" s="154">
        <f>$L183*O$11*O183</f>
        <v>0</v>
      </c>
      <c r="X183" s="63">
        <f>($L183+SUM($W183:W183))*(P$11*P183)</f>
        <v>0</v>
      </c>
      <c r="Y183" s="63">
        <f>($L183+SUM($W183:X183))*(Q$11*Q183)</f>
        <v>0.04431575342465753</v>
      </c>
      <c r="Z183" s="63">
        <f>($L183+SUM($W183:Y183))*(R$11*R183)</f>
        <v>0.4080679564458622</v>
      </c>
      <c r="AA183" s="63">
        <f>($L183+SUM($W183:Z183))*(S$11*S183)</f>
        <v>0.4024670475380034</v>
      </c>
      <c r="AB183" s="63">
        <f>($L183+SUM($W183:AA183))*(T$11*T183)</f>
        <v>0.4101999893562622</v>
      </c>
      <c r="AC183" s="63">
        <f>($L183+SUM($W183:AB183))*(U$11*U183)</f>
        <v>0</v>
      </c>
      <c r="AD183" s="63">
        <f>($L183+SUM($W183:AB183))*(V$11*V183)</f>
        <v>0</v>
      </c>
      <c r="AE183" s="114">
        <f>SUM(W183:AD183)</f>
        <v>1.2650507467647853</v>
      </c>
    </row>
    <row r="184" spans="1:31" ht="12.75">
      <c r="A184" s="3">
        <v>9</v>
      </c>
      <c r="B184" s="15">
        <f t="shared" si="165"/>
        <v>41153</v>
      </c>
      <c r="C184" s="244">
        <f t="shared" si="193"/>
        <v>41185</v>
      </c>
      <c r="D184" s="244">
        <f t="shared" si="193"/>
        <v>41200</v>
      </c>
      <c r="E184" s="30" t="s">
        <v>206</v>
      </c>
      <c r="F184" s="3">
        <v>9</v>
      </c>
      <c r="G184" s="73">
        <v>40</v>
      </c>
      <c r="H184" s="249">
        <f t="shared" si="204"/>
        <v>1.14</v>
      </c>
      <c r="I184" s="249">
        <f t="shared" si="205"/>
        <v>1.93</v>
      </c>
      <c r="J184" s="56">
        <f t="shared" si="166"/>
        <v>77.2</v>
      </c>
      <c r="K184" s="76">
        <f t="shared" si="195"/>
        <v>45.599999999999994</v>
      </c>
      <c r="L184" s="79">
        <f t="shared" si="201"/>
        <v>31.60000000000001</v>
      </c>
      <c r="M184" s="77">
        <f t="shared" si="143"/>
        <v>0.7257734420684381</v>
      </c>
      <c r="N184" s="78">
        <f t="shared" si="202"/>
        <v>32.325773442068446</v>
      </c>
      <c r="O184" s="16">
        <f t="shared" si="196"/>
        <v>0</v>
      </c>
      <c r="P184" s="16">
        <f t="shared" si="196"/>
        <v>0</v>
      </c>
      <c r="Q184" s="16">
        <f t="shared" si="196"/>
        <v>0</v>
      </c>
      <c r="R184" s="16">
        <f t="shared" si="197"/>
        <v>75</v>
      </c>
      <c r="S184" s="16">
        <f t="shared" si="197"/>
        <v>90</v>
      </c>
      <c r="T184" s="16">
        <f t="shared" si="197"/>
        <v>91</v>
      </c>
      <c r="U184" s="16">
        <f t="shared" si="197"/>
        <v>0</v>
      </c>
      <c r="V184" s="110">
        <f t="shared" si="198"/>
        <v>0</v>
      </c>
      <c r="W184" s="154">
        <f t="shared" si="199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0.21102739726027403</v>
      </c>
      <c r="AA184" s="63">
        <f>($L184+SUM($W184:Z184))*(S$11*S184)</f>
        <v>0.2549239866766749</v>
      </c>
      <c r="AB184" s="63">
        <f>($L184+SUM($W184:AA184))*(T$11*T184)</f>
        <v>0.2598220581314892</v>
      </c>
      <c r="AC184" s="63">
        <f>($L184+SUM($W184:AB184))*(U$11*U184)</f>
        <v>0</v>
      </c>
      <c r="AD184" s="63">
        <f>($L184+SUM($W184:AB184))*(V$11*V184)</f>
        <v>0</v>
      </c>
      <c r="AE184" s="114">
        <f t="shared" si="200"/>
        <v>0.7257734420684381</v>
      </c>
    </row>
    <row r="185" spans="1:31" ht="12.75">
      <c r="A185" s="16">
        <v>10</v>
      </c>
      <c r="B185" s="15">
        <f t="shared" si="165"/>
        <v>41183</v>
      </c>
      <c r="C185" s="244">
        <f t="shared" si="193"/>
        <v>41218</v>
      </c>
      <c r="D185" s="244">
        <f t="shared" si="193"/>
        <v>41233</v>
      </c>
      <c r="E185" s="30" t="s">
        <v>206</v>
      </c>
      <c r="F185" s="3">
        <v>9</v>
      </c>
      <c r="G185" s="73">
        <v>24</v>
      </c>
      <c r="H185" s="249">
        <f t="shared" si="204"/>
        <v>1.14</v>
      </c>
      <c r="I185" s="249">
        <f t="shared" si="205"/>
        <v>1.93</v>
      </c>
      <c r="J185" s="56">
        <f t="shared" si="166"/>
        <v>46.32</v>
      </c>
      <c r="K185" s="76">
        <f t="shared" si="195"/>
        <v>27.36</v>
      </c>
      <c r="L185" s="79">
        <f t="shared" si="201"/>
        <v>18.96</v>
      </c>
      <c r="M185" s="77">
        <f t="shared" si="143"/>
        <v>0.3788513482212402</v>
      </c>
      <c r="N185" s="78">
        <f t="shared" si="202"/>
        <v>19.33885134822124</v>
      </c>
      <c r="O185" s="16">
        <f t="shared" si="196"/>
        <v>0</v>
      </c>
      <c r="P185" s="16">
        <f t="shared" si="196"/>
        <v>0</v>
      </c>
      <c r="Q185" s="16">
        <f t="shared" si="196"/>
        <v>0</v>
      </c>
      <c r="R185" s="16">
        <f t="shared" si="197"/>
        <v>42</v>
      </c>
      <c r="S185" s="16">
        <f t="shared" si="197"/>
        <v>90</v>
      </c>
      <c r="T185" s="16">
        <f t="shared" si="197"/>
        <v>91</v>
      </c>
      <c r="U185" s="16">
        <f t="shared" si="197"/>
        <v>0</v>
      </c>
      <c r="V185" s="110">
        <f t="shared" si="198"/>
        <v>0</v>
      </c>
      <c r="W185" s="154">
        <f t="shared" si="199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0.07090520547945206</v>
      </c>
      <c r="AA185" s="63">
        <f>($L185+SUM($W185:Z185))*(S$11*S185)</f>
        <v>0.1525079389754175</v>
      </c>
      <c r="AB185" s="63">
        <f>($L185+SUM($W185:AA185))*(T$11*T185)</f>
        <v>0.15543820376637063</v>
      </c>
      <c r="AC185" s="63">
        <f>($L185+SUM($W185:AB185))*(U$11*U185)</f>
        <v>0</v>
      </c>
      <c r="AD185" s="63">
        <f>($L185+SUM($W185:AB185))*(V$11*V185)</f>
        <v>0</v>
      </c>
      <c r="AE185" s="114">
        <f t="shared" si="200"/>
        <v>0.3788513482212402</v>
      </c>
    </row>
    <row r="186" spans="1:31" ht="12.75">
      <c r="A186" s="3">
        <v>11</v>
      </c>
      <c r="B186" s="15">
        <f t="shared" si="165"/>
        <v>41214</v>
      </c>
      <c r="C186" s="244">
        <f t="shared" si="193"/>
        <v>41248</v>
      </c>
      <c r="D186" s="244">
        <f t="shared" si="193"/>
        <v>41263</v>
      </c>
      <c r="E186" s="30" t="s">
        <v>206</v>
      </c>
      <c r="F186" s="3">
        <v>9</v>
      </c>
      <c r="G186" s="73">
        <v>19</v>
      </c>
      <c r="H186" s="249">
        <f t="shared" si="204"/>
        <v>1.14</v>
      </c>
      <c r="I186" s="249">
        <f t="shared" si="205"/>
        <v>1.93</v>
      </c>
      <c r="J186" s="56">
        <f t="shared" si="166"/>
        <v>36.67</v>
      </c>
      <c r="K186" s="76">
        <f t="shared" si="195"/>
        <v>21.659999999999997</v>
      </c>
      <c r="L186" s="79">
        <f t="shared" si="201"/>
        <v>15.010000000000005</v>
      </c>
      <c r="M186" s="77">
        <f t="shared" si="143"/>
        <v>0.25917998312300355</v>
      </c>
      <c r="N186" s="78">
        <f t="shared" si="202"/>
        <v>15.269179983123008</v>
      </c>
      <c r="O186" s="16">
        <f t="shared" si="196"/>
        <v>0</v>
      </c>
      <c r="P186" s="16">
        <f t="shared" si="196"/>
        <v>0</v>
      </c>
      <c r="Q186" s="16">
        <f t="shared" si="196"/>
        <v>0</v>
      </c>
      <c r="R186" s="16">
        <f t="shared" si="197"/>
        <v>12</v>
      </c>
      <c r="S186" s="16">
        <f t="shared" si="197"/>
        <v>90</v>
      </c>
      <c r="T186" s="16">
        <f t="shared" si="197"/>
        <v>91</v>
      </c>
      <c r="U186" s="16">
        <f t="shared" si="197"/>
        <v>0</v>
      </c>
      <c r="V186" s="110">
        <f t="shared" si="198"/>
        <v>0</v>
      </c>
      <c r="W186" s="154">
        <f t="shared" si="199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0.01603808219178083</v>
      </c>
      <c r="AA186" s="63">
        <f>($L186+SUM($W186:Z186))*(S$11*S186)</f>
        <v>0.1204141407956465</v>
      </c>
      <c r="AB186" s="63">
        <f>($L186+SUM($W186:AA186))*(T$11*T186)</f>
        <v>0.12272776013557625</v>
      </c>
      <c r="AC186" s="63">
        <f>($L186+SUM($W186:AB186))*(U$11*U186)</f>
        <v>0</v>
      </c>
      <c r="AD186" s="63">
        <f>($L186+SUM($W186:AB186))*(V$11*V186)</f>
        <v>0</v>
      </c>
      <c r="AE186" s="114">
        <f t="shared" si="200"/>
        <v>0.25917998312300355</v>
      </c>
    </row>
    <row r="187" spans="1:31" s="70" customFormat="1" ht="12.75">
      <c r="A187" s="3">
        <v>12</v>
      </c>
      <c r="B187" s="86">
        <f t="shared" si="165"/>
        <v>41244</v>
      </c>
      <c r="C187" s="244">
        <f t="shared" si="193"/>
        <v>41278</v>
      </c>
      <c r="D187" s="244">
        <f t="shared" si="193"/>
        <v>41295</v>
      </c>
      <c r="E187" s="87" t="s">
        <v>206</v>
      </c>
      <c r="F187" s="83">
        <v>9</v>
      </c>
      <c r="G187" s="88">
        <v>22</v>
      </c>
      <c r="H187" s="250">
        <f t="shared" si="204"/>
        <v>1.14</v>
      </c>
      <c r="I187" s="250">
        <f t="shared" si="205"/>
        <v>1.93</v>
      </c>
      <c r="J187" s="89">
        <f t="shared" si="166"/>
        <v>42.46</v>
      </c>
      <c r="K187" s="90">
        <f t="shared" si="195"/>
        <v>25.08</v>
      </c>
      <c r="L187" s="91">
        <f t="shared" si="201"/>
        <v>17.380000000000003</v>
      </c>
      <c r="M187" s="92">
        <f t="shared" si="143"/>
        <v>0.25003076240382816</v>
      </c>
      <c r="N187" s="93">
        <f t="shared" si="202"/>
        <v>17.63003076240383</v>
      </c>
      <c r="O187" s="83">
        <f t="shared" si="196"/>
        <v>0</v>
      </c>
      <c r="P187" s="83">
        <f t="shared" si="196"/>
        <v>0</v>
      </c>
      <c r="Q187" s="83">
        <f t="shared" si="196"/>
        <v>0</v>
      </c>
      <c r="R187" s="83">
        <f t="shared" si="197"/>
        <v>0</v>
      </c>
      <c r="S187" s="83">
        <f t="shared" si="197"/>
        <v>70</v>
      </c>
      <c r="T187" s="83">
        <f t="shared" si="197"/>
        <v>91</v>
      </c>
      <c r="U187" s="83">
        <f t="shared" si="197"/>
        <v>0</v>
      </c>
      <c r="V187" s="111">
        <f t="shared" si="198"/>
        <v>0</v>
      </c>
      <c r="W187" s="155">
        <f t="shared" si="199"/>
        <v>0</v>
      </c>
      <c r="X187" s="94">
        <f>($L187+SUM($W187:W187))*(P$11*P187)</f>
        <v>0</v>
      </c>
      <c r="Y187" s="94">
        <f>($L187+SUM($W187:X187))*(Q$11*Q187)</f>
        <v>0</v>
      </c>
      <c r="Z187" s="94">
        <f>($L187+SUM($W187:Y187))*(R$11*R187)</f>
        <v>0</v>
      </c>
      <c r="AA187" s="94">
        <f>($L187+SUM($W187:Z187))*(S$11*S187)</f>
        <v>0.10832739726027399</v>
      </c>
      <c r="AB187" s="94">
        <f>($L187+SUM($W187:AA187))*(T$11*T187)</f>
        <v>0.14170336514355417</v>
      </c>
      <c r="AC187" s="94">
        <f>($L187+SUM($W187:AB187))*(U$11*U187)</f>
        <v>0</v>
      </c>
      <c r="AD187" s="94">
        <f>($L187+SUM($W187:AB187))*(V$11*V187)</f>
        <v>0</v>
      </c>
      <c r="AE187" s="115">
        <f t="shared" si="200"/>
        <v>0.25003076240382816</v>
      </c>
    </row>
    <row r="188" spans="1:31" ht="12.75">
      <c r="A188" s="16">
        <v>1</v>
      </c>
      <c r="B188" s="15">
        <f t="shared" si="165"/>
        <v>40909</v>
      </c>
      <c r="C188" s="243">
        <f aca="true" t="shared" si="206" ref="C188:D211">+C176</f>
        <v>40942</v>
      </c>
      <c r="D188" s="243">
        <f t="shared" si="206"/>
        <v>40959</v>
      </c>
      <c r="E188" s="122" t="s">
        <v>207</v>
      </c>
      <c r="F188" s="16">
        <v>9</v>
      </c>
      <c r="G188" s="73">
        <v>42</v>
      </c>
      <c r="H188" s="249">
        <f aca="true" t="shared" si="207" ref="H188:H193">$K$3</f>
        <v>1.45</v>
      </c>
      <c r="I188" s="249">
        <f aca="true" t="shared" si="208" ref="I188:I205">$J$3</f>
        <v>1.93</v>
      </c>
      <c r="J188" s="56">
        <f t="shared" si="166"/>
        <v>81.06</v>
      </c>
      <c r="K188" s="76">
        <f aca="true" t="shared" si="209" ref="K188:K199">+$G188*H188</f>
        <v>60.9</v>
      </c>
      <c r="L188" s="58">
        <f t="shared" si="201"/>
        <v>20.160000000000004</v>
      </c>
      <c r="M188" s="55">
        <f t="shared" si="143"/>
        <v>0.9085885762252099</v>
      </c>
      <c r="N188" s="29">
        <f t="shared" si="202"/>
        <v>21.068588576225213</v>
      </c>
      <c r="O188" s="16">
        <f aca="true" t="shared" si="210" ref="O188:O211">IF($D188&lt;O$8,O$12,IF($D188&lt;P$8,P$8-$D188,0))</f>
        <v>41</v>
      </c>
      <c r="P188" s="16">
        <f aca="true" t="shared" si="211" ref="P188:P211">IF($D188&lt;P$8,P$12,IF($D188&lt;Q$8,Q$8-$D188,0))</f>
        <v>91</v>
      </c>
      <c r="Q188" s="16">
        <f aca="true" t="shared" si="212" ref="Q188:Q211">IF($D188&lt;Q$8,Q$12,IF($D188&lt;R$8,R$8-$D188,0))</f>
        <v>92</v>
      </c>
      <c r="R188" s="16">
        <f t="shared" si="197"/>
        <v>92</v>
      </c>
      <c r="S188" s="16">
        <f t="shared" si="197"/>
        <v>90</v>
      </c>
      <c r="T188" s="16">
        <f t="shared" si="197"/>
        <v>91</v>
      </c>
      <c r="U188" s="16">
        <f t="shared" si="197"/>
        <v>0</v>
      </c>
      <c r="V188" s="110">
        <f>IF(W$8&lt;V$8,0,IF($D188&lt;V$8,V$12,IF($D188&lt;W$8,W$8-$D188,0)))</f>
        <v>0</v>
      </c>
      <c r="W188" s="154">
        <f>$L188*O$11*O188</f>
        <v>0.07359780821917809</v>
      </c>
      <c r="X188" s="63">
        <f>($L188+SUM($W188:W188))*(P$11*P188)</f>
        <v>0.16394757676111843</v>
      </c>
      <c r="Y188" s="63">
        <f>($L188+SUM($W188:X188))*(Q$11*Q188)</f>
        <v>0.1670922210988797</v>
      </c>
      <c r="Z188" s="63">
        <f>($L188+SUM($W188:Y188))*(R$11*R188)</f>
        <v>0.16846100395116917</v>
      </c>
      <c r="AA188" s="63">
        <f>($L188+SUM($W188:Z188))*(S$11*S188)</f>
        <v>0.16614880392969525</v>
      </c>
      <c r="AB188" s="63">
        <f>($L188+SUM($W188:AA188))*(T$11*T188)</f>
        <v>0.1693411622651694</v>
      </c>
      <c r="AC188" s="63">
        <f>($L188+SUM($W188:AB188))*(U$11*U188)</f>
        <v>0</v>
      </c>
      <c r="AD188" s="63">
        <f>($L188+SUM($W188:AB188))*(V$11*V188)</f>
        <v>0</v>
      </c>
      <c r="AE188" s="114">
        <f aca="true" t="shared" si="213" ref="AE188:AE211">SUM(W188:AD188)</f>
        <v>0.9085885762252099</v>
      </c>
    </row>
    <row r="189" spans="1:31" ht="12.75">
      <c r="A189" s="3">
        <v>2</v>
      </c>
      <c r="B189" s="15">
        <f t="shared" si="165"/>
        <v>40940</v>
      </c>
      <c r="C189" s="244">
        <f t="shared" si="206"/>
        <v>40973</v>
      </c>
      <c r="D189" s="244">
        <f t="shared" si="206"/>
        <v>40988</v>
      </c>
      <c r="E189" s="71" t="s">
        <v>207</v>
      </c>
      <c r="F189" s="3">
        <v>9</v>
      </c>
      <c r="G189" s="73">
        <v>40</v>
      </c>
      <c r="H189" s="249">
        <f t="shared" si="207"/>
        <v>1.45</v>
      </c>
      <c r="I189" s="249">
        <f t="shared" si="208"/>
        <v>1.93</v>
      </c>
      <c r="J189" s="56">
        <f t="shared" si="166"/>
        <v>77.2</v>
      </c>
      <c r="K189" s="76">
        <f t="shared" si="209"/>
        <v>58</v>
      </c>
      <c r="L189" s="58">
        <f t="shared" si="201"/>
        <v>19.200000000000003</v>
      </c>
      <c r="M189" s="55">
        <f t="shared" si="143"/>
        <v>0.8136984059613537</v>
      </c>
      <c r="N189" s="29">
        <f t="shared" si="202"/>
        <v>20.013698405961357</v>
      </c>
      <c r="O189" s="16">
        <f t="shared" si="210"/>
        <v>12</v>
      </c>
      <c r="P189" s="16">
        <f t="shared" si="211"/>
        <v>91</v>
      </c>
      <c r="Q189" s="16">
        <f t="shared" si="212"/>
        <v>92</v>
      </c>
      <c r="R189" s="16">
        <f t="shared" si="197"/>
        <v>92</v>
      </c>
      <c r="S189" s="16">
        <f t="shared" si="197"/>
        <v>90</v>
      </c>
      <c r="T189" s="16">
        <f t="shared" si="197"/>
        <v>91</v>
      </c>
      <c r="U189" s="16">
        <f t="shared" si="197"/>
        <v>0</v>
      </c>
      <c r="V189" s="110">
        <f aca="true" t="shared" si="214" ref="V189:V199">IF(W$8&lt;V$8,0,IF($D189&lt;V$8,V$12,IF($D189&lt;W$8,W$8-$D189,0)))</f>
        <v>0</v>
      </c>
      <c r="W189" s="154">
        <f aca="true" t="shared" si="215" ref="W189:W199">$L189*O$11*O189</f>
        <v>0.020515068493150688</v>
      </c>
      <c r="X189" s="63">
        <f>($L189+SUM($W189:W189))*(P$11*P189)</f>
        <v>0.15573883100018768</v>
      </c>
      <c r="Y189" s="63">
        <f>($L189+SUM($W189:X189))*(Q$11*Q189)</f>
        <v>0.1587260250944797</v>
      </c>
      <c r="Z189" s="63">
        <f>($L189+SUM($W189:Y189))*(R$11*R189)</f>
        <v>0.16002627390278787</v>
      </c>
      <c r="AA189" s="63">
        <f>($L189+SUM($W189:Z189))*(S$11*S189)</f>
        <v>0.15782984419338364</v>
      </c>
      <c r="AB189" s="63">
        <f>($L189+SUM($W189:AA189))*(T$11*T189)</f>
        <v>0.16086236327736414</v>
      </c>
      <c r="AC189" s="63">
        <f>($L189+SUM($W189:AB189))*(U$11*U189)</f>
        <v>0</v>
      </c>
      <c r="AD189" s="63">
        <f>($L189+SUM($W189:AB189))*(V$11*V189)</f>
        <v>0</v>
      </c>
      <c r="AE189" s="114">
        <f t="shared" si="213"/>
        <v>0.8136984059613537</v>
      </c>
    </row>
    <row r="190" spans="1:31" ht="12.75">
      <c r="A190" s="3">
        <v>3</v>
      </c>
      <c r="B190" s="15">
        <f t="shared" si="165"/>
        <v>40969</v>
      </c>
      <c r="C190" s="244">
        <f t="shared" si="206"/>
        <v>41003</v>
      </c>
      <c r="D190" s="244">
        <f t="shared" si="206"/>
        <v>41018</v>
      </c>
      <c r="E190" s="71" t="s">
        <v>207</v>
      </c>
      <c r="F190" s="3">
        <v>9</v>
      </c>
      <c r="G190" s="73">
        <v>37</v>
      </c>
      <c r="H190" s="249">
        <f t="shared" si="207"/>
        <v>1.45</v>
      </c>
      <c r="I190" s="249">
        <f t="shared" si="208"/>
        <v>1.93</v>
      </c>
      <c r="J190" s="56">
        <f t="shared" si="166"/>
        <v>71.41</v>
      </c>
      <c r="K190" s="57">
        <f t="shared" si="209"/>
        <v>53.65</v>
      </c>
      <c r="L190" s="58">
        <f>+J190-K190</f>
        <v>17.759999999999998</v>
      </c>
      <c r="M190" s="55">
        <f t="shared" si="143"/>
        <v>0.7035103818087649</v>
      </c>
      <c r="N190" s="29">
        <f>SUM(L190:M190)</f>
        <v>18.463510381808764</v>
      </c>
      <c r="O190" s="16">
        <f t="shared" si="210"/>
        <v>0</v>
      </c>
      <c r="P190" s="16">
        <f t="shared" si="211"/>
        <v>73</v>
      </c>
      <c r="Q190" s="16">
        <f t="shared" si="212"/>
        <v>92</v>
      </c>
      <c r="R190" s="16">
        <f t="shared" si="197"/>
        <v>92</v>
      </c>
      <c r="S190" s="16">
        <f t="shared" si="197"/>
        <v>90</v>
      </c>
      <c r="T190" s="16">
        <f t="shared" si="197"/>
        <v>91</v>
      </c>
      <c r="U190" s="16">
        <f t="shared" si="197"/>
        <v>0</v>
      </c>
      <c r="V190" s="110">
        <f t="shared" si="214"/>
        <v>0</v>
      </c>
      <c r="W190" s="154">
        <f t="shared" si="215"/>
        <v>0</v>
      </c>
      <c r="X190" s="63">
        <f>($L190+SUM($W190:W190))*(P$11*P190)</f>
        <v>0.11543999999999999</v>
      </c>
      <c r="Y190" s="63">
        <f>($L190+SUM($W190:X190))*(Q$11*Q190)</f>
        <v>0.14643168657534242</v>
      </c>
      <c r="Z190" s="63">
        <f>($L190+SUM($W190:Y190))*(R$11*R190)</f>
        <v>0.1476312228571514</v>
      </c>
      <c r="AA190" s="63">
        <f>($L190+SUM($W190:Z190))*(S$11*S190)</f>
        <v>0.14560492057558913</v>
      </c>
      <c r="AB190" s="63">
        <f>($L190+SUM($W190:AA190))*(T$11*T190)</f>
        <v>0.14840255180068193</v>
      </c>
      <c r="AC190" s="63">
        <f>($L190+SUM($W190:AB190))*(U$11*U190)</f>
        <v>0</v>
      </c>
      <c r="AD190" s="63">
        <f>($L190+SUM($W190:AB190))*(V$11*V190)</f>
        <v>0</v>
      </c>
      <c r="AE190" s="114">
        <f t="shared" si="213"/>
        <v>0.7035103818087649</v>
      </c>
    </row>
    <row r="191" spans="1:31" ht="12.75">
      <c r="A191" s="16">
        <v>4</v>
      </c>
      <c r="B191" s="15">
        <f t="shared" si="165"/>
        <v>41000</v>
      </c>
      <c r="C191" s="244">
        <f t="shared" si="206"/>
        <v>41032</v>
      </c>
      <c r="D191" s="244">
        <f t="shared" si="206"/>
        <v>41047</v>
      </c>
      <c r="E191" s="30" t="s">
        <v>207</v>
      </c>
      <c r="F191" s="3">
        <v>9</v>
      </c>
      <c r="G191" s="73">
        <v>42</v>
      </c>
      <c r="H191" s="249">
        <f t="shared" si="207"/>
        <v>1.45</v>
      </c>
      <c r="I191" s="249">
        <f t="shared" si="208"/>
        <v>1.93</v>
      </c>
      <c r="J191" s="56">
        <f t="shared" si="166"/>
        <v>81.06</v>
      </c>
      <c r="K191" s="57">
        <f t="shared" si="209"/>
        <v>60.9</v>
      </c>
      <c r="L191" s="58">
        <f aca="true" t="shared" si="216" ref="L191:L201">+J191-K191</f>
        <v>20.160000000000004</v>
      </c>
      <c r="M191" s="55">
        <f t="shared" si="143"/>
        <v>0.7448097831816115</v>
      </c>
      <c r="N191" s="29">
        <f aca="true" t="shared" si="217" ref="N191:N201">SUM(L191:M191)</f>
        <v>20.904809783181616</v>
      </c>
      <c r="O191" s="16">
        <f aca="true" t="shared" si="218" ref="O191:U191">IF($D191&lt;O$8,O$12,IF($D191&lt;P$8,P$8-$D191,0))</f>
        <v>0</v>
      </c>
      <c r="P191" s="16">
        <f t="shared" si="218"/>
        <v>44</v>
      </c>
      <c r="Q191" s="16">
        <f t="shared" si="218"/>
        <v>92</v>
      </c>
      <c r="R191" s="16">
        <f t="shared" si="218"/>
        <v>92</v>
      </c>
      <c r="S191" s="16">
        <f t="shared" si="218"/>
        <v>90</v>
      </c>
      <c r="T191" s="16">
        <f t="shared" si="218"/>
        <v>91</v>
      </c>
      <c r="U191" s="16">
        <f t="shared" si="218"/>
        <v>0</v>
      </c>
      <c r="V191" s="110">
        <f>IF(W$8&lt;V$8,0,IF($D191&lt;V$8,V$12,IF($D191&lt;W$8,W$8-$D191,0)))</f>
        <v>0</v>
      </c>
      <c r="W191" s="154">
        <f>$L191*O$11*O191</f>
        <v>0</v>
      </c>
      <c r="X191" s="63">
        <f>($L191+SUM($W191:W191))*(P$11*P191)</f>
        <v>0.07898301369863014</v>
      </c>
      <c r="Y191" s="63">
        <f>($L191+SUM($W191:X191))*(Q$11*Q191)</f>
        <v>0.16579331290673674</v>
      </c>
      <c r="Z191" s="63">
        <f>($L191+SUM($W191:Y191))*(R$11*R191)</f>
        <v>0.16715145538780837</v>
      </c>
      <c r="AA191" s="63">
        <f>($L191+SUM($W191:Z191))*(S$11*S191)</f>
        <v>0.16485722948583573</v>
      </c>
      <c r="AB191" s="63">
        <f>($L191+SUM($W191:AA191))*(T$11*T191)</f>
        <v>0.16802477170260052</v>
      </c>
      <c r="AC191" s="63">
        <f>($L191+SUM($W191:AB191))*(U$11*U191)</f>
        <v>0</v>
      </c>
      <c r="AD191" s="63">
        <f>($L191+SUM($W191:AB191))*(V$11*V191)</f>
        <v>0</v>
      </c>
      <c r="AE191" s="114">
        <f>SUM(W191:AD191)</f>
        <v>0.7448097831816115</v>
      </c>
    </row>
    <row r="192" spans="1:31" ht="12.75">
      <c r="A192" s="3">
        <v>5</v>
      </c>
      <c r="B192" s="15">
        <f t="shared" si="165"/>
        <v>41030</v>
      </c>
      <c r="C192" s="244">
        <f t="shared" si="206"/>
        <v>41065</v>
      </c>
      <c r="D192" s="244">
        <f t="shared" si="206"/>
        <v>41080</v>
      </c>
      <c r="E192" s="30" t="s">
        <v>207</v>
      </c>
      <c r="F192" s="3">
        <v>9</v>
      </c>
      <c r="G192" s="73">
        <v>54</v>
      </c>
      <c r="H192" s="249">
        <f t="shared" si="207"/>
        <v>1.45</v>
      </c>
      <c r="I192" s="249">
        <f t="shared" si="208"/>
        <v>1.93</v>
      </c>
      <c r="J192" s="56">
        <f t="shared" si="166"/>
        <v>104.22</v>
      </c>
      <c r="K192" s="57">
        <f t="shared" si="209"/>
        <v>78.3</v>
      </c>
      <c r="L192" s="58">
        <f t="shared" si="216"/>
        <v>25.92</v>
      </c>
      <c r="M192" s="55">
        <f t="shared" si="143"/>
        <v>0.8789447850998554</v>
      </c>
      <c r="N192" s="29">
        <f t="shared" si="217"/>
        <v>26.798944785099856</v>
      </c>
      <c r="O192" s="16">
        <f t="shared" si="210"/>
        <v>0</v>
      </c>
      <c r="P192" s="16">
        <f t="shared" si="211"/>
        <v>11</v>
      </c>
      <c r="Q192" s="16">
        <f t="shared" si="212"/>
        <v>92</v>
      </c>
      <c r="R192" s="16">
        <f t="shared" si="197"/>
        <v>92</v>
      </c>
      <c r="S192" s="16">
        <f t="shared" si="197"/>
        <v>90</v>
      </c>
      <c r="T192" s="16">
        <f t="shared" si="197"/>
        <v>91</v>
      </c>
      <c r="U192" s="16">
        <f t="shared" si="197"/>
        <v>0</v>
      </c>
      <c r="V192" s="110">
        <f t="shared" si="214"/>
        <v>0</v>
      </c>
      <c r="W192" s="154">
        <f t="shared" si="215"/>
        <v>0</v>
      </c>
      <c r="X192" s="63">
        <f>($L192+SUM($W192:W192))*(P$11*P192)</f>
        <v>0.02538739726027397</v>
      </c>
      <c r="Y192" s="63">
        <f>($L192+SUM($W192:X192))*(Q$11*Q192)</f>
        <v>0.21253892689810472</v>
      </c>
      <c r="Z192" s="63">
        <f>($L192+SUM($W192:Y192))*(R$11*R192)</f>
        <v>0.2142799992033796</v>
      </c>
      <c r="AA192" s="63">
        <f>($L192+SUM($W192:Z192))*(S$11*S192)</f>
        <v>0.21133891368721408</v>
      </c>
      <c r="AB192" s="63">
        <f>($L192+SUM($W192:AA192))*(T$11*T192)</f>
        <v>0.21539954805088313</v>
      </c>
      <c r="AC192" s="63">
        <f>($L192+SUM($W192:AB192))*(U$11*U192)</f>
        <v>0</v>
      </c>
      <c r="AD192" s="63">
        <f>($L192+SUM($W192:AB192))*(V$11*V192)</f>
        <v>0</v>
      </c>
      <c r="AE192" s="114">
        <f t="shared" si="213"/>
        <v>0.8789447850998554</v>
      </c>
    </row>
    <row r="193" spans="1:31" ht="12.75">
      <c r="A193" s="3">
        <v>6</v>
      </c>
      <c r="B193" s="15">
        <f t="shared" si="165"/>
        <v>41061</v>
      </c>
      <c r="C193" s="244">
        <f t="shared" si="206"/>
        <v>41095</v>
      </c>
      <c r="D193" s="244">
        <f t="shared" si="206"/>
        <v>41110</v>
      </c>
      <c r="E193" s="30" t="s">
        <v>207</v>
      </c>
      <c r="F193" s="3">
        <v>9</v>
      </c>
      <c r="G193" s="73">
        <v>56</v>
      </c>
      <c r="H193" s="249">
        <f t="shared" si="207"/>
        <v>1.45</v>
      </c>
      <c r="I193" s="249">
        <f t="shared" si="208"/>
        <v>1.93</v>
      </c>
      <c r="J193" s="56">
        <f t="shared" si="166"/>
        <v>108.08</v>
      </c>
      <c r="K193" s="57">
        <f t="shared" si="209"/>
        <v>81.2</v>
      </c>
      <c r="L193" s="79">
        <f t="shared" si="216"/>
        <v>26.879999999999995</v>
      </c>
      <c r="M193" s="80">
        <f t="shared" si="143"/>
        <v>0.8377150234084764</v>
      </c>
      <c r="N193" s="78">
        <f t="shared" si="217"/>
        <v>27.717715023408473</v>
      </c>
      <c r="O193" s="16">
        <f t="shared" si="210"/>
        <v>0</v>
      </c>
      <c r="P193" s="16">
        <f t="shared" si="211"/>
        <v>0</v>
      </c>
      <c r="Q193" s="16">
        <f t="shared" si="212"/>
        <v>73</v>
      </c>
      <c r="R193" s="16">
        <f t="shared" si="197"/>
        <v>92</v>
      </c>
      <c r="S193" s="16">
        <f t="shared" si="197"/>
        <v>90</v>
      </c>
      <c r="T193" s="16">
        <f t="shared" si="197"/>
        <v>91</v>
      </c>
      <c r="U193" s="16">
        <f t="shared" si="197"/>
        <v>0</v>
      </c>
      <c r="V193" s="110">
        <f t="shared" si="214"/>
        <v>0</v>
      </c>
      <c r="W193" s="154">
        <f t="shared" si="215"/>
        <v>0</v>
      </c>
      <c r="X193" s="63">
        <f>($L193+SUM($W193:W193))*(P$11*P193)</f>
        <v>0</v>
      </c>
      <c r="Y193" s="63">
        <f>($L193+SUM($W193:X193))*(Q$11*Q193)</f>
        <v>0.17471999999999996</v>
      </c>
      <c r="Z193" s="63">
        <f>($L193+SUM($W193:Y193))*(R$11*R193)</f>
        <v>0.2216263364383561</v>
      </c>
      <c r="AA193" s="63">
        <f>($L193+SUM($W193:Z193))*(S$11*S193)</f>
        <v>0.218584419271458</v>
      </c>
      <c r="AB193" s="63">
        <f>($L193+SUM($W193:AA193))*(T$11*T193)</f>
        <v>0.22278426769866236</v>
      </c>
      <c r="AC193" s="63">
        <f>($L193+SUM($W193:AB193))*(U$11*U193)</f>
        <v>0</v>
      </c>
      <c r="AD193" s="63">
        <f>($L193+SUM($W193:AB193))*(V$11*V193)</f>
        <v>0</v>
      </c>
      <c r="AE193" s="114">
        <f t="shared" si="213"/>
        <v>0.8377150234084764</v>
      </c>
    </row>
    <row r="194" spans="1:31" ht="12.75">
      <c r="A194" s="16">
        <v>7</v>
      </c>
      <c r="B194" s="15">
        <f t="shared" si="165"/>
        <v>41091</v>
      </c>
      <c r="C194" s="244">
        <f t="shared" si="206"/>
        <v>41124</v>
      </c>
      <c r="D194" s="244">
        <f t="shared" si="206"/>
        <v>41141</v>
      </c>
      <c r="E194" s="30" t="s">
        <v>207</v>
      </c>
      <c r="F194" s="3">
        <v>9</v>
      </c>
      <c r="G194" s="73">
        <v>61</v>
      </c>
      <c r="H194" s="249">
        <f aca="true" t="shared" si="219" ref="H194:H199">$K$8</f>
        <v>1.14</v>
      </c>
      <c r="I194" s="249">
        <f aca="true" t="shared" si="220" ref="I194:I199">J$8</f>
        <v>1.93</v>
      </c>
      <c r="J194" s="56">
        <f t="shared" si="166"/>
        <v>117.72999999999999</v>
      </c>
      <c r="K194" s="57">
        <f t="shared" si="209"/>
        <v>69.53999999999999</v>
      </c>
      <c r="L194" s="79">
        <f t="shared" si="216"/>
        <v>48.19</v>
      </c>
      <c r="M194" s="77">
        <f t="shared" si="143"/>
        <v>1.365563740359359</v>
      </c>
      <c r="N194" s="78">
        <f t="shared" si="217"/>
        <v>49.555563740359354</v>
      </c>
      <c r="O194" s="16">
        <f t="shared" si="210"/>
        <v>0</v>
      </c>
      <c r="P194" s="16">
        <f t="shared" si="211"/>
        <v>0</v>
      </c>
      <c r="Q194" s="16">
        <f t="shared" si="212"/>
        <v>42</v>
      </c>
      <c r="R194" s="16">
        <f t="shared" si="197"/>
        <v>92</v>
      </c>
      <c r="S194" s="16">
        <f t="shared" si="197"/>
        <v>90</v>
      </c>
      <c r="T194" s="16">
        <f t="shared" si="197"/>
        <v>91</v>
      </c>
      <c r="U194" s="16">
        <f t="shared" si="197"/>
        <v>0</v>
      </c>
      <c r="V194" s="110">
        <f t="shared" si="214"/>
        <v>0</v>
      </c>
      <c r="W194" s="154">
        <f t="shared" si="215"/>
        <v>0</v>
      </c>
      <c r="X194" s="63">
        <f>($L194+SUM($W194:W194))*(P$11*P194)</f>
        <v>0</v>
      </c>
      <c r="Y194" s="63">
        <f>($L194+SUM($W194:X194))*(Q$11*Q194)</f>
        <v>0.18021739726027397</v>
      </c>
      <c r="Z194" s="63">
        <f>($L194+SUM($W194:Y194))*(R$11*R194)</f>
        <v>0.39623821922687175</v>
      </c>
      <c r="AA194" s="63">
        <f>($L194+SUM($W194:Z194))*(S$11*S194)</f>
        <v>0.39079967857047915</v>
      </c>
      <c r="AB194" s="63">
        <f>($L194+SUM($W194:AA194))*(T$11*T194)</f>
        <v>0.39830844530173404</v>
      </c>
      <c r="AC194" s="63">
        <f>($L194+SUM($W194:AB194))*(U$11*U194)</f>
        <v>0</v>
      </c>
      <c r="AD194" s="63">
        <f>($L194+SUM($W194:AB194))*(V$11*V194)</f>
        <v>0</v>
      </c>
      <c r="AE194" s="114">
        <f t="shared" si="213"/>
        <v>1.365563740359359</v>
      </c>
    </row>
    <row r="195" spans="1:31" ht="12.75">
      <c r="A195" s="3">
        <v>8</v>
      </c>
      <c r="B195" s="15">
        <f t="shared" si="165"/>
        <v>41122</v>
      </c>
      <c r="C195" s="244">
        <f t="shared" si="206"/>
        <v>41158</v>
      </c>
      <c r="D195" s="244">
        <f t="shared" si="206"/>
        <v>41173</v>
      </c>
      <c r="E195" s="30" t="s">
        <v>207</v>
      </c>
      <c r="F195" s="3">
        <v>9</v>
      </c>
      <c r="G195" s="73">
        <v>59</v>
      </c>
      <c r="H195" s="249">
        <f t="shared" si="219"/>
        <v>1.14</v>
      </c>
      <c r="I195" s="249">
        <f t="shared" si="220"/>
        <v>1.93</v>
      </c>
      <c r="J195" s="56">
        <f t="shared" si="166"/>
        <v>113.86999999999999</v>
      </c>
      <c r="K195" s="57">
        <f t="shared" si="209"/>
        <v>67.25999999999999</v>
      </c>
      <c r="L195" s="79">
        <f t="shared" si="216"/>
        <v>46.61</v>
      </c>
      <c r="M195" s="77">
        <f t="shared" si="143"/>
        <v>1.1847300644305132</v>
      </c>
      <c r="N195" s="78">
        <f t="shared" si="217"/>
        <v>47.79473006443051</v>
      </c>
      <c r="O195" s="16">
        <f t="shared" si="210"/>
        <v>0</v>
      </c>
      <c r="P195" s="16">
        <f t="shared" si="211"/>
        <v>0</v>
      </c>
      <c r="Q195" s="16">
        <f t="shared" si="212"/>
        <v>10</v>
      </c>
      <c r="R195" s="16">
        <f t="shared" si="197"/>
        <v>92</v>
      </c>
      <c r="S195" s="16">
        <f t="shared" si="197"/>
        <v>90</v>
      </c>
      <c r="T195" s="16">
        <f t="shared" si="197"/>
        <v>91</v>
      </c>
      <c r="U195" s="16">
        <f t="shared" si="197"/>
        <v>0</v>
      </c>
      <c r="V195" s="110">
        <f t="shared" si="214"/>
        <v>0</v>
      </c>
      <c r="W195" s="154">
        <f t="shared" si="215"/>
        <v>0</v>
      </c>
      <c r="X195" s="63">
        <f>($L195+SUM($W195:W195))*(P$11*P195)</f>
        <v>0</v>
      </c>
      <c r="Y195" s="63">
        <f>($L195+SUM($W195:X195))*(Q$11*Q195)</f>
        <v>0.04150205479452054</v>
      </c>
      <c r="Z195" s="63">
        <f>($L195+SUM($W195:Y195))*(R$11*R195)</f>
        <v>0.38215887984612495</v>
      </c>
      <c r="AA195" s="63">
        <f>($L195+SUM($W195:Z195))*(S$11*S195)</f>
        <v>0.3769135842022572</v>
      </c>
      <c r="AB195" s="63">
        <f>($L195+SUM($W195:AA195))*(T$11*T195)</f>
        <v>0.3841555455876106</v>
      </c>
      <c r="AC195" s="63">
        <f>($L195+SUM($W195:AB195))*(U$11*U195)</f>
        <v>0</v>
      </c>
      <c r="AD195" s="63">
        <f>($L195+SUM($W195:AB195))*(V$11*V195)</f>
        <v>0</v>
      </c>
      <c r="AE195" s="114">
        <f t="shared" si="213"/>
        <v>1.1847300644305132</v>
      </c>
    </row>
    <row r="196" spans="1:31" ht="12.75">
      <c r="A196" s="3">
        <v>9</v>
      </c>
      <c r="B196" s="15">
        <f t="shared" si="165"/>
        <v>41153</v>
      </c>
      <c r="C196" s="244">
        <f t="shared" si="206"/>
        <v>41185</v>
      </c>
      <c r="D196" s="244">
        <f t="shared" si="206"/>
        <v>41200</v>
      </c>
      <c r="E196" s="30" t="s">
        <v>207</v>
      </c>
      <c r="F196" s="3">
        <v>9</v>
      </c>
      <c r="G196" s="73">
        <v>54</v>
      </c>
      <c r="H196" s="249">
        <f t="shared" si="219"/>
        <v>1.14</v>
      </c>
      <c r="I196" s="249">
        <f t="shared" si="220"/>
        <v>1.93</v>
      </c>
      <c r="J196" s="56">
        <f t="shared" si="166"/>
        <v>104.22</v>
      </c>
      <c r="K196" s="57">
        <f t="shared" si="209"/>
        <v>61.559999999999995</v>
      </c>
      <c r="L196" s="79">
        <f t="shared" si="216"/>
        <v>42.660000000000004</v>
      </c>
      <c r="M196" s="77">
        <f t="shared" si="143"/>
        <v>0.9797941467923912</v>
      </c>
      <c r="N196" s="78">
        <f t="shared" si="217"/>
        <v>43.6397941467924</v>
      </c>
      <c r="O196" s="16">
        <f t="shared" si="210"/>
        <v>0</v>
      </c>
      <c r="P196" s="16">
        <f t="shared" si="211"/>
        <v>0</v>
      </c>
      <c r="Q196" s="16">
        <f t="shared" si="212"/>
        <v>0</v>
      </c>
      <c r="R196" s="16">
        <f aca="true" t="shared" si="221" ref="R196:R211">IF($D196&lt;R$8,R$12,IF($D196&lt;S$8,S$8-$D196,0))</f>
        <v>75</v>
      </c>
      <c r="S196" s="16">
        <f aca="true" t="shared" si="222" ref="S196:U211">IF($D196&lt;S$8,S$12,IF($D196&lt;T$8,T$8-$D196,0))</f>
        <v>90</v>
      </c>
      <c r="T196" s="16">
        <f t="shared" si="222"/>
        <v>91</v>
      </c>
      <c r="U196" s="16">
        <f t="shared" si="222"/>
        <v>0</v>
      </c>
      <c r="V196" s="110">
        <f t="shared" si="214"/>
        <v>0</v>
      </c>
      <c r="W196" s="154">
        <f t="shared" si="215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0.2848869863013699</v>
      </c>
      <c r="AA196" s="63">
        <f>($L196+SUM($W196:Z196))*(S$11*S196)</f>
        <v>0.344147382013511</v>
      </c>
      <c r="AB196" s="63">
        <f>($L196+SUM($W196:AA196))*(T$11*T196)</f>
        <v>0.35075977847751033</v>
      </c>
      <c r="AC196" s="63">
        <f>($L196+SUM($W196:AB196))*(U$11*U196)</f>
        <v>0</v>
      </c>
      <c r="AD196" s="63">
        <f>($L196+SUM($W196:AB196))*(V$11*V196)</f>
        <v>0</v>
      </c>
      <c r="AE196" s="114">
        <f t="shared" si="213"/>
        <v>0.9797941467923912</v>
      </c>
    </row>
    <row r="197" spans="1:31" ht="12.75">
      <c r="A197" s="16">
        <v>10</v>
      </c>
      <c r="B197" s="15">
        <f t="shared" si="165"/>
        <v>41183</v>
      </c>
      <c r="C197" s="244">
        <f t="shared" si="206"/>
        <v>41218</v>
      </c>
      <c r="D197" s="244">
        <f t="shared" si="206"/>
        <v>41233</v>
      </c>
      <c r="E197" s="30" t="s">
        <v>207</v>
      </c>
      <c r="F197" s="3">
        <v>9</v>
      </c>
      <c r="G197" s="73">
        <v>42</v>
      </c>
      <c r="H197" s="249">
        <f t="shared" si="219"/>
        <v>1.14</v>
      </c>
      <c r="I197" s="249">
        <f t="shared" si="220"/>
        <v>1.93</v>
      </c>
      <c r="J197" s="56">
        <f t="shared" si="166"/>
        <v>81.06</v>
      </c>
      <c r="K197" s="57">
        <f t="shared" si="209"/>
        <v>47.879999999999995</v>
      </c>
      <c r="L197" s="79">
        <f t="shared" si="216"/>
        <v>33.18000000000001</v>
      </c>
      <c r="M197" s="77">
        <f t="shared" si="143"/>
        <v>0.6629898593871706</v>
      </c>
      <c r="N197" s="78">
        <f t="shared" si="217"/>
        <v>33.842989859387174</v>
      </c>
      <c r="O197" s="16">
        <f t="shared" si="210"/>
        <v>0</v>
      </c>
      <c r="P197" s="16">
        <f t="shared" si="211"/>
        <v>0</v>
      </c>
      <c r="Q197" s="16">
        <f t="shared" si="212"/>
        <v>0</v>
      </c>
      <c r="R197" s="16">
        <f t="shared" si="221"/>
        <v>42</v>
      </c>
      <c r="S197" s="16">
        <f t="shared" si="222"/>
        <v>90</v>
      </c>
      <c r="T197" s="16">
        <f t="shared" si="222"/>
        <v>91</v>
      </c>
      <c r="U197" s="16">
        <f t="shared" si="222"/>
        <v>0</v>
      </c>
      <c r="V197" s="110">
        <f t="shared" si="214"/>
        <v>0</v>
      </c>
      <c r="W197" s="154">
        <f t="shared" si="215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0.12408410958904112</v>
      </c>
      <c r="AA197" s="63">
        <f>($L197+SUM($W197:Z197))*(S$11*S197)</f>
        <v>0.2668888932069807</v>
      </c>
      <c r="AB197" s="63">
        <f>($L197+SUM($W197:AA197))*(T$11*T197)</f>
        <v>0.27201685659114866</v>
      </c>
      <c r="AC197" s="63">
        <f>($L197+SUM($W197:AB197))*(U$11*U197)</f>
        <v>0</v>
      </c>
      <c r="AD197" s="63">
        <f>($L197+SUM($W197:AB197))*(V$11*V197)</f>
        <v>0</v>
      </c>
      <c r="AE197" s="114">
        <f t="shared" si="213"/>
        <v>0.6629898593871706</v>
      </c>
    </row>
    <row r="198" spans="1:31" ht="12.75">
      <c r="A198" s="3">
        <v>11</v>
      </c>
      <c r="B198" s="15">
        <f t="shared" si="165"/>
        <v>41214</v>
      </c>
      <c r="C198" s="244">
        <f t="shared" si="206"/>
        <v>41248</v>
      </c>
      <c r="D198" s="244">
        <f t="shared" si="206"/>
        <v>41263</v>
      </c>
      <c r="E198" s="30" t="s">
        <v>207</v>
      </c>
      <c r="F198" s="3">
        <v>9</v>
      </c>
      <c r="G198" s="73">
        <v>38</v>
      </c>
      <c r="H198" s="249">
        <f t="shared" si="219"/>
        <v>1.14</v>
      </c>
      <c r="I198" s="249">
        <f t="shared" si="220"/>
        <v>1.93</v>
      </c>
      <c r="J198" s="56">
        <f t="shared" si="166"/>
        <v>73.34</v>
      </c>
      <c r="K198" s="57">
        <f t="shared" si="209"/>
        <v>43.31999999999999</v>
      </c>
      <c r="L198" s="79">
        <f t="shared" si="216"/>
        <v>30.02000000000001</v>
      </c>
      <c r="M198" s="77">
        <f t="shared" si="143"/>
        <v>0.5183599662460071</v>
      </c>
      <c r="N198" s="78">
        <f t="shared" si="217"/>
        <v>30.538359966246016</v>
      </c>
      <c r="O198" s="16">
        <f t="shared" si="210"/>
        <v>0</v>
      </c>
      <c r="P198" s="16">
        <f t="shared" si="211"/>
        <v>0</v>
      </c>
      <c r="Q198" s="16">
        <f t="shared" si="212"/>
        <v>0</v>
      </c>
      <c r="R198" s="16">
        <f t="shared" si="221"/>
        <v>12</v>
      </c>
      <c r="S198" s="16">
        <f t="shared" si="222"/>
        <v>90</v>
      </c>
      <c r="T198" s="16">
        <f t="shared" si="222"/>
        <v>91</v>
      </c>
      <c r="U198" s="16">
        <f t="shared" si="222"/>
        <v>0</v>
      </c>
      <c r="V198" s="110">
        <f t="shared" si="214"/>
        <v>0</v>
      </c>
      <c r="W198" s="154">
        <f t="shared" si="215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0.03207616438356166</v>
      </c>
      <c r="AA198" s="63">
        <f>($L198+SUM($W198:Z198))*(S$11*S198)</f>
        <v>0.240828281591293</v>
      </c>
      <c r="AB198" s="63">
        <f>($L198+SUM($W198:AA198))*(T$11*T198)</f>
        <v>0.2454555202711525</v>
      </c>
      <c r="AC198" s="63">
        <f>($L198+SUM($W198:AB198))*(U$11*U198)</f>
        <v>0</v>
      </c>
      <c r="AD198" s="63">
        <f>($L198+SUM($W198:AB198))*(V$11*V198)</f>
        <v>0</v>
      </c>
      <c r="AE198" s="114">
        <f t="shared" si="213"/>
        <v>0.5183599662460071</v>
      </c>
    </row>
    <row r="199" spans="1:31" s="70" customFormat="1" ht="12.75">
      <c r="A199" s="3">
        <v>12</v>
      </c>
      <c r="B199" s="86">
        <f t="shared" si="165"/>
        <v>41244</v>
      </c>
      <c r="C199" s="244">
        <f t="shared" si="206"/>
        <v>41278</v>
      </c>
      <c r="D199" s="244">
        <f t="shared" si="206"/>
        <v>41295</v>
      </c>
      <c r="E199" s="87" t="s">
        <v>207</v>
      </c>
      <c r="F199" s="83">
        <v>9</v>
      </c>
      <c r="G199" s="88">
        <v>43</v>
      </c>
      <c r="H199" s="250">
        <f t="shared" si="219"/>
        <v>1.14</v>
      </c>
      <c r="I199" s="250">
        <f t="shared" si="220"/>
        <v>1.93</v>
      </c>
      <c r="J199" s="89">
        <f t="shared" si="166"/>
        <v>82.99</v>
      </c>
      <c r="K199" s="308">
        <f t="shared" si="209"/>
        <v>49.019999999999996</v>
      </c>
      <c r="L199" s="91">
        <f t="shared" si="216"/>
        <v>33.97</v>
      </c>
      <c r="M199" s="92">
        <f t="shared" si="143"/>
        <v>0.4886964901529368</v>
      </c>
      <c r="N199" s="93">
        <f t="shared" si="217"/>
        <v>34.45869649015294</v>
      </c>
      <c r="O199" s="83">
        <f t="shared" si="210"/>
        <v>0</v>
      </c>
      <c r="P199" s="83">
        <f t="shared" si="211"/>
        <v>0</v>
      </c>
      <c r="Q199" s="83">
        <f t="shared" si="212"/>
        <v>0</v>
      </c>
      <c r="R199" s="83">
        <f t="shared" si="221"/>
        <v>0</v>
      </c>
      <c r="S199" s="83">
        <f t="shared" si="222"/>
        <v>70</v>
      </c>
      <c r="T199" s="83">
        <f t="shared" si="222"/>
        <v>91</v>
      </c>
      <c r="U199" s="83">
        <f t="shared" si="222"/>
        <v>0</v>
      </c>
      <c r="V199" s="111">
        <f t="shared" si="214"/>
        <v>0</v>
      </c>
      <c r="W199" s="155">
        <f t="shared" si="215"/>
        <v>0</v>
      </c>
      <c r="X199" s="94">
        <f>($L199+SUM($W199:W199))*(P$11*P199)</f>
        <v>0</v>
      </c>
      <c r="Y199" s="94">
        <f>($L199+SUM($W199:X199))*(Q$11*Q199)</f>
        <v>0</v>
      </c>
      <c r="Z199" s="94">
        <f>($L199+SUM($W199:Y199))*(R$11*R199)</f>
        <v>0</v>
      </c>
      <c r="AA199" s="94">
        <f>($L199+SUM($W199:Z199))*(S$11*S199)</f>
        <v>0.2117308219178082</v>
      </c>
      <c r="AB199" s="94">
        <f>($L199+SUM($W199:AA199))*(T$11*T199)</f>
        <v>0.2769656682351286</v>
      </c>
      <c r="AC199" s="94">
        <f>($L199+SUM($W199:AB199))*(U$11*U199)</f>
        <v>0</v>
      </c>
      <c r="AD199" s="94">
        <f>($L199+SUM($W199:AB199))*(V$11*V199)</f>
        <v>0</v>
      </c>
      <c r="AE199" s="115">
        <f t="shared" si="213"/>
        <v>0.4886964901529368</v>
      </c>
    </row>
    <row r="200" spans="1:31" ht="12.75">
      <c r="A200" s="16">
        <v>1</v>
      </c>
      <c r="B200" s="15">
        <f t="shared" si="165"/>
        <v>40909</v>
      </c>
      <c r="C200" s="243">
        <f t="shared" si="206"/>
        <v>40942</v>
      </c>
      <c r="D200" s="243">
        <f t="shared" si="206"/>
        <v>40959</v>
      </c>
      <c r="E200" s="122" t="s">
        <v>141</v>
      </c>
      <c r="F200" s="16">
        <v>9</v>
      </c>
      <c r="G200" s="73">
        <v>93</v>
      </c>
      <c r="H200" s="249">
        <f aca="true" t="shared" si="223" ref="H200:H205">$K$3</f>
        <v>1.45</v>
      </c>
      <c r="I200" s="249">
        <f t="shared" si="208"/>
        <v>1.93</v>
      </c>
      <c r="J200" s="56">
        <f t="shared" si="166"/>
        <v>179.48999999999998</v>
      </c>
      <c r="K200" s="57">
        <f aca="true" t="shared" si="224" ref="K200:K211">+$G200*H200</f>
        <v>134.85</v>
      </c>
      <c r="L200" s="58">
        <f t="shared" si="216"/>
        <v>44.639999999999986</v>
      </c>
      <c r="M200" s="55">
        <f aca="true" t="shared" si="225" ref="M200:M211">+AE200</f>
        <v>2.0118747044986782</v>
      </c>
      <c r="N200" s="29">
        <f t="shared" si="217"/>
        <v>46.65187470449867</v>
      </c>
      <c r="O200" s="16">
        <f t="shared" si="210"/>
        <v>41</v>
      </c>
      <c r="P200" s="16">
        <f t="shared" si="211"/>
        <v>91</v>
      </c>
      <c r="Q200" s="16">
        <f t="shared" si="212"/>
        <v>92</v>
      </c>
      <c r="R200" s="16">
        <f t="shared" si="221"/>
        <v>92</v>
      </c>
      <c r="S200" s="16">
        <f t="shared" si="222"/>
        <v>90</v>
      </c>
      <c r="T200" s="16">
        <f t="shared" si="222"/>
        <v>91</v>
      </c>
      <c r="U200" s="16">
        <f t="shared" si="222"/>
        <v>0</v>
      </c>
      <c r="V200" s="110">
        <f>IF(W$8&lt;V$8,0,IF($D200&lt;V$8,V$12,IF($D200&lt;W$8,W$8-$D200,0)))</f>
        <v>0</v>
      </c>
      <c r="W200" s="154">
        <f>$L200*O$11*O200</f>
        <v>0.1629665753424657</v>
      </c>
      <c r="X200" s="63">
        <f>($L200+SUM($W200:W200))*(P$11*P200)</f>
        <v>0.36302677711390496</v>
      </c>
      <c r="Y200" s="63">
        <f>($L200+SUM($W200:X200))*(Q$11*Q200)</f>
        <v>0.36998991814751914</v>
      </c>
      <c r="Z200" s="63">
        <f>($L200+SUM($W200:Y200))*(R$11*R200)</f>
        <v>0.37302079446330294</v>
      </c>
      <c r="AA200" s="63">
        <f>($L200+SUM($W200:Z200))*(S$11*S200)</f>
        <v>0.3679009229871822</v>
      </c>
      <c r="AB200" s="63">
        <f>($L200+SUM($W200:AA200))*(T$11*T200)</f>
        <v>0.3749697164443035</v>
      </c>
      <c r="AC200" s="63">
        <f>($L200+SUM($W200:AB200))*(U$11*U200)</f>
        <v>0</v>
      </c>
      <c r="AD200" s="63">
        <f>($L200+SUM($W200:AB200))*(V$11*V200)</f>
        <v>0</v>
      </c>
      <c r="AE200" s="114">
        <f t="shared" si="213"/>
        <v>2.0118747044986782</v>
      </c>
    </row>
    <row r="201" spans="1:31" ht="12.75">
      <c r="A201" s="3">
        <v>2</v>
      </c>
      <c r="B201" s="15">
        <f t="shared" si="165"/>
        <v>40940</v>
      </c>
      <c r="C201" s="244">
        <f t="shared" si="206"/>
        <v>40973</v>
      </c>
      <c r="D201" s="244">
        <f t="shared" si="206"/>
        <v>40988</v>
      </c>
      <c r="E201" s="71" t="s">
        <v>141</v>
      </c>
      <c r="F201" s="3">
        <v>9</v>
      </c>
      <c r="G201" s="73">
        <v>93</v>
      </c>
      <c r="H201" s="249">
        <f t="shared" si="223"/>
        <v>1.45</v>
      </c>
      <c r="I201" s="249">
        <f t="shared" si="208"/>
        <v>1.93</v>
      </c>
      <c r="J201" s="56">
        <f t="shared" si="166"/>
        <v>179.48999999999998</v>
      </c>
      <c r="K201" s="57">
        <f t="shared" si="224"/>
        <v>134.85</v>
      </c>
      <c r="L201" s="58">
        <f t="shared" si="216"/>
        <v>44.639999999999986</v>
      </c>
      <c r="M201" s="55">
        <f t="shared" si="225"/>
        <v>1.8918487938601465</v>
      </c>
      <c r="N201" s="29">
        <f t="shared" si="217"/>
        <v>46.531848793860135</v>
      </c>
      <c r="O201" s="16">
        <f aca="true" t="shared" si="226" ref="O201:U201">IF($D201&lt;O$8,O$12,IF($D201&lt;P$8,P$8-$D201,0))</f>
        <v>12</v>
      </c>
      <c r="P201" s="16">
        <f t="shared" si="226"/>
        <v>91</v>
      </c>
      <c r="Q201" s="16">
        <f t="shared" si="226"/>
        <v>92</v>
      </c>
      <c r="R201" s="16">
        <f t="shared" si="226"/>
        <v>92</v>
      </c>
      <c r="S201" s="16">
        <f t="shared" si="226"/>
        <v>90</v>
      </c>
      <c r="T201" s="16">
        <f t="shared" si="226"/>
        <v>91</v>
      </c>
      <c r="U201" s="16">
        <f t="shared" si="226"/>
        <v>0</v>
      </c>
      <c r="V201" s="110">
        <f>IF(W$8&lt;V$8,0,IF($D201&lt;V$8,V$12,IF($D201&lt;W$8,W$8-$D201,0)))</f>
        <v>0</v>
      </c>
      <c r="W201" s="154">
        <f>$L201*O$11*O201</f>
        <v>0.04769753424657532</v>
      </c>
      <c r="X201" s="63">
        <f>($L201+SUM($W201:W201))*(P$11*P201)</f>
        <v>0.36209278207543616</v>
      </c>
      <c r="Y201" s="63">
        <f>($L201+SUM($W201:X201))*(Q$11*Q201)</f>
        <v>0.3690380083446651</v>
      </c>
      <c r="Z201" s="63">
        <f>($L201+SUM($W201:Y201))*(R$11*R201)</f>
        <v>0.37206108682398165</v>
      </c>
      <c r="AA201" s="63">
        <f>($L201+SUM($W201:Z201))*(S$11*S201)</f>
        <v>0.3669543877496168</v>
      </c>
      <c r="AB201" s="63">
        <f>($L201+SUM($W201:AA201))*(T$11*T201)</f>
        <v>0.3740049946198714</v>
      </c>
      <c r="AC201" s="63">
        <f>($L201+SUM($W201:AB201))*(U$11*U201)</f>
        <v>0</v>
      </c>
      <c r="AD201" s="63">
        <f>($L201+SUM($W201:AB201))*(V$11*V201)</f>
        <v>0</v>
      </c>
      <c r="AE201" s="114">
        <f>SUM(W201:AD201)</f>
        <v>1.8918487938601465</v>
      </c>
    </row>
    <row r="202" spans="1:31" ht="12.75">
      <c r="A202" s="3">
        <v>3</v>
      </c>
      <c r="B202" s="15">
        <f t="shared" si="165"/>
        <v>40969</v>
      </c>
      <c r="C202" s="244">
        <f t="shared" si="206"/>
        <v>41003</v>
      </c>
      <c r="D202" s="244">
        <f t="shared" si="206"/>
        <v>41018</v>
      </c>
      <c r="E202" s="71" t="s">
        <v>141</v>
      </c>
      <c r="F202" s="3">
        <v>9</v>
      </c>
      <c r="G202" s="73">
        <v>85</v>
      </c>
      <c r="H202" s="249">
        <f t="shared" si="223"/>
        <v>1.45</v>
      </c>
      <c r="I202" s="249">
        <f t="shared" si="208"/>
        <v>1.93</v>
      </c>
      <c r="J202" s="56">
        <f t="shared" si="166"/>
        <v>164.04999999999998</v>
      </c>
      <c r="K202" s="57">
        <f t="shared" si="224"/>
        <v>123.25</v>
      </c>
      <c r="L202" s="58">
        <f>+J202-K202</f>
        <v>40.79999999999998</v>
      </c>
      <c r="M202" s="55">
        <f t="shared" si="225"/>
        <v>1.6161724987498647</v>
      </c>
      <c r="N202" s="29">
        <f>SUM(L202:M202)</f>
        <v>42.416172498749845</v>
      </c>
      <c r="O202" s="16">
        <f t="shared" si="210"/>
        <v>0</v>
      </c>
      <c r="P202" s="16">
        <f t="shared" si="211"/>
        <v>73</v>
      </c>
      <c r="Q202" s="16">
        <f t="shared" si="212"/>
        <v>92</v>
      </c>
      <c r="R202" s="16">
        <f t="shared" si="221"/>
        <v>92</v>
      </c>
      <c r="S202" s="16">
        <f t="shared" si="222"/>
        <v>90</v>
      </c>
      <c r="T202" s="16">
        <f t="shared" si="222"/>
        <v>91</v>
      </c>
      <c r="U202" s="16">
        <f t="shared" si="222"/>
        <v>0</v>
      </c>
      <c r="V202" s="110">
        <f aca="true" t="shared" si="227" ref="V202:V211">IF(W$8&lt;V$8,0,IF($D202&lt;V$8,V$12,IF($D202&lt;W$8,W$8-$D202,0)))</f>
        <v>0</v>
      </c>
      <c r="W202" s="154">
        <f aca="true" t="shared" si="228" ref="W202:W211">$L202*O$11*O202</f>
        <v>0</v>
      </c>
      <c r="X202" s="63">
        <f>($L202+SUM($W202:W202))*(P$11*P202)</f>
        <v>0.2651999999999999</v>
      </c>
      <c r="Y202" s="63">
        <f>($L202+SUM($W202:X202))*(Q$11*Q202)</f>
        <v>0.336397117808219</v>
      </c>
      <c r="Z202" s="63">
        <f>($L202+SUM($W202:Y202))*(R$11*R202)</f>
        <v>0.33915280926642877</v>
      </c>
      <c r="AA202" s="63">
        <f>($L202+SUM($W202:Z202))*(S$11*S202)</f>
        <v>0.3344977905114885</v>
      </c>
      <c r="AB202" s="63">
        <f>($L202+SUM($W202:AA202))*(T$11*T202)</f>
        <v>0.3409247811637286</v>
      </c>
      <c r="AC202" s="63">
        <f>($L202+SUM($W202:AB202))*(U$11*U202)</f>
        <v>0</v>
      </c>
      <c r="AD202" s="63">
        <f>($L202+SUM($W202:AB202))*(V$11*V202)</f>
        <v>0</v>
      </c>
      <c r="AE202" s="114">
        <f t="shared" si="213"/>
        <v>1.6161724987498647</v>
      </c>
    </row>
    <row r="203" spans="1:31" ht="12.75">
      <c r="A203" s="16">
        <v>4</v>
      </c>
      <c r="B203" s="15">
        <f t="shared" si="165"/>
        <v>41000</v>
      </c>
      <c r="C203" s="244">
        <f t="shared" si="206"/>
        <v>41032</v>
      </c>
      <c r="D203" s="244">
        <f t="shared" si="206"/>
        <v>41047</v>
      </c>
      <c r="E203" s="71" t="s">
        <v>141</v>
      </c>
      <c r="F203" s="3">
        <v>9</v>
      </c>
      <c r="G203" s="73">
        <v>94</v>
      </c>
      <c r="H203" s="249">
        <f t="shared" si="223"/>
        <v>1.45</v>
      </c>
      <c r="I203" s="249">
        <f t="shared" si="208"/>
        <v>1.93</v>
      </c>
      <c r="J203" s="56">
        <f t="shared" si="166"/>
        <v>181.42</v>
      </c>
      <c r="K203" s="57">
        <f t="shared" si="224"/>
        <v>136.29999999999998</v>
      </c>
      <c r="L203" s="58">
        <f aca="true" t="shared" si="229" ref="L203:L211">+J203-K203</f>
        <v>45.120000000000005</v>
      </c>
      <c r="M203" s="55">
        <f t="shared" si="225"/>
        <v>1.6669552290255114</v>
      </c>
      <c r="N203" s="29">
        <f aca="true" t="shared" si="230" ref="N203:N211">SUM(L203:M203)</f>
        <v>46.786955229025516</v>
      </c>
      <c r="O203" s="16">
        <f t="shared" si="210"/>
        <v>0</v>
      </c>
      <c r="P203" s="16">
        <f t="shared" si="211"/>
        <v>44</v>
      </c>
      <c r="Q203" s="16">
        <f t="shared" si="212"/>
        <v>92</v>
      </c>
      <c r="R203" s="16">
        <f t="shared" si="221"/>
        <v>92</v>
      </c>
      <c r="S203" s="16">
        <f t="shared" si="222"/>
        <v>90</v>
      </c>
      <c r="T203" s="16">
        <f t="shared" si="222"/>
        <v>91</v>
      </c>
      <c r="U203" s="16">
        <f t="shared" si="222"/>
        <v>0</v>
      </c>
      <c r="V203" s="110">
        <f t="shared" si="227"/>
        <v>0</v>
      </c>
      <c r="W203" s="154">
        <f t="shared" si="228"/>
        <v>0</v>
      </c>
      <c r="X203" s="63">
        <f>($L203+SUM($W203:W203))*(P$11*P203)</f>
        <v>0.17677150684931509</v>
      </c>
      <c r="Y203" s="63">
        <f>($L203+SUM($W203:X203))*(Q$11*Q203)</f>
        <v>0.37106122412460124</v>
      </c>
      <c r="Z203" s="63">
        <f>($L203+SUM($W203:Y203))*(R$11*R203)</f>
        <v>0.37410087634414246</v>
      </c>
      <c r="AA203" s="63">
        <f>($L203+SUM($W203:Z203))*(S$11*S203)</f>
        <v>0.3689661802778228</v>
      </c>
      <c r="AB203" s="63">
        <f>($L203+SUM($W203:AA203))*(T$11*T203)</f>
        <v>0.3760554414296297</v>
      </c>
      <c r="AC203" s="63">
        <f>($L203+SUM($W203:AB203))*(U$11*U203)</f>
        <v>0</v>
      </c>
      <c r="AD203" s="63">
        <f>($L203+SUM($W203:AB203))*(V$11*V203)</f>
        <v>0</v>
      </c>
      <c r="AE203" s="114">
        <f t="shared" si="213"/>
        <v>1.6669552290255114</v>
      </c>
    </row>
    <row r="204" spans="1:31" ht="12.75">
      <c r="A204" s="3">
        <v>5</v>
      </c>
      <c r="B204" s="15">
        <f t="shared" si="165"/>
        <v>41030</v>
      </c>
      <c r="C204" s="244">
        <f t="shared" si="206"/>
        <v>41065</v>
      </c>
      <c r="D204" s="244">
        <f t="shared" si="206"/>
        <v>41080</v>
      </c>
      <c r="E204" s="30" t="s">
        <v>141</v>
      </c>
      <c r="F204" s="3">
        <v>9</v>
      </c>
      <c r="G204" s="73">
        <v>105</v>
      </c>
      <c r="H204" s="249">
        <f t="shared" si="223"/>
        <v>1.45</v>
      </c>
      <c r="I204" s="249">
        <f t="shared" si="208"/>
        <v>1.93</v>
      </c>
      <c r="J204" s="56">
        <f t="shared" si="166"/>
        <v>202.65</v>
      </c>
      <c r="K204" s="57">
        <f t="shared" si="224"/>
        <v>152.25</v>
      </c>
      <c r="L204" s="58">
        <f t="shared" si="229"/>
        <v>50.400000000000006</v>
      </c>
      <c r="M204" s="55">
        <f t="shared" si="225"/>
        <v>1.7090593043608302</v>
      </c>
      <c r="N204" s="29">
        <f t="shared" si="230"/>
        <v>52.109059304360834</v>
      </c>
      <c r="O204" s="16">
        <f t="shared" si="210"/>
        <v>0</v>
      </c>
      <c r="P204" s="16">
        <f t="shared" si="211"/>
        <v>11</v>
      </c>
      <c r="Q204" s="16">
        <f t="shared" si="212"/>
        <v>92</v>
      </c>
      <c r="R204" s="16">
        <f t="shared" si="221"/>
        <v>92</v>
      </c>
      <c r="S204" s="16">
        <f t="shared" si="222"/>
        <v>90</v>
      </c>
      <c r="T204" s="16">
        <f t="shared" si="222"/>
        <v>91</v>
      </c>
      <c r="U204" s="16">
        <f t="shared" si="222"/>
        <v>0</v>
      </c>
      <c r="V204" s="110">
        <f t="shared" si="227"/>
        <v>0</v>
      </c>
      <c r="W204" s="154">
        <f t="shared" si="228"/>
        <v>0</v>
      </c>
      <c r="X204" s="63">
        <f>($L204+SUM($W204:W204))*(P$11*P204)</f>
        <v>0.04936438356164384</v>
      </c>
      <c r="Y204" s="63">
        <f>($L204+SUM($W204:X204))*(Q$11*Q204)</f>
        <v>0.4132701356352036</v>
      </c>
      <c r="Z204" s="63">
        <f>($L204+SUM($W204:Y204))*(R$11*R204)</f>
        <v>0.41665555400657145</v>
      </c>
      <c r="AA204" s="63">
        <f>($L204+SUM($W204:Z204))*(S$11*S204)</f>
        <v>0.41093677661402744</v>
      </c>
      <c r="AB204" s="63">
        <f>($L204+SUM($W204:AA204))*(T$11*T204)</f>
        <v>0.41883245454338386</v>
      </c>
      <c r="AC204" s="63">
        <f>($L204+SUM($W204:AB204))*(U$11*U204)</f>
        <v>0</v>
      </c>
      <c r="AD204" s="63">
        <f>($L204+SUM($W204:AB204))*(V$11*V204)</f>
        <v>0</v>
      </c>
      <c r="AE204" s="114">
        <f t="shared" si="213"/>
        <v>1.7090593043608302</v>
      </c>
    </row>
    <row r="205" spans="1:31" ht="12.75">
      <c r="A205" s="3">
        <v>6</v>
      </c>
      <c r="B205" s="15">
        <f t="shared" si="165"/>
        <v>41061</v>
      </c>
      <c r="C205" s="244">
        <f t="shared" si="206"/>
        <v>41095</v>
      </c>
      <c r="D205" s="244">
        <f t="shared" si="206"/>
        <v>41110</v>
      </c>
      <c r="E205" s="30" t="s">
        <v>141</v>
      </c>
      <c r="F205" s="3">
        <v>9</v>
      </c>
      <c r="G205" s="73">
        <v>62</v>
      </c>
      <c r="H205" s="249">
        <f t="shared" si="223"/>
        <v>1.45</v>
      </c>
      <c r="I205" s="249">
        <f t="shared" si="208"/>
        <v>1.93</v>
      </c>
      <c r="J205" s="56">
        <f t="shared" si="166"/>
        <v>119.66</v>
      </c>
      <c r="K205" s="57">
        <f t="shared" si="224"/>
        <v>89.89999999999999</v>
      </c>
      <c r="L205" s="79">
        <f t="shared" si="229"/>
        <v>29.760000000000005</v>
      </c>
      <c r="M205" s="80">
        <f t="shared" si="225"/>
        <v>0.9274702044879564</v>
      </c>
      <c r="N205" s="78">
        <f t="shared" si="230"/>
        <v>30.687470204487962</v>
      </c>
      <c r="O205" s="16">
        <f t="shared" si="210"/>
        <v>0</v>
      </c>
      <c r="P205" s="16">
        <f t="shared" si="211"/>
        <v>0</v>
      </c>
      <c r="Q205" s="16">
        <f t="shared" si="212"/>
        <v>73</v>
      </c>
      <c r="R205" s="16">
        <f t="shared" si="221"/>
        <v>92</v>
      </c>
      <c r="S205" s="16">
        <f t="shared" si="222"/>
        <v>90</v>
      </c>
      <c r="T205" s="16">
        <f t="shared" si="222"/>
        <v>91</v>
      </c>
      <c r="U205" s="16">
        <f t="shared" si="222"/>
        <v>0</v>
      </c>
      <c r="V205" s="110">
        <f t="shared" si="227"/>
        <v>0</v>
      </c>
      <c r="W205" s="154">
        <f t="shared" si="228"/>
        <v>0</v>
      </c>
      <c r="X205" s="63">
        <f>($L205+SUM($W205:W205))*(P$11*P205)</f>
        <v>0</v>
      </c>
      <c r="Y205" s="63">
        <f>($L205+SUM($W205:X205))*(Q$11*Q205)</f>
        <v>0.19344000000000003</v>
      </c>
      <c r="Z205" s="63">
        <f>($L205+SUM($W205:Y205))*(R$11*R205)</f>
        <v>0.24537201534246575</v>
      </c>
      <c r="AA205" s="63">
        <f>($L205+SUM($W205:Z205))*(S$11*S205)</f>
        <v>0.24200417847911432</v>
      </c>
      <c r="AB205" s="63">
        <f>($L205+SUM($W205:AA205))*(T$11*T205)</f>
        <v>0.24665401066637627</v>
      </c>
      <c r="AC205" s="63">
        <f>($L205+SUM($W205:AB205))*(U$11*U205)</f>
        <v>0</v>
      </c>
      <c r="AD205" s="63">
        <f>($L205+SUM($W205:AB205))*(V$11*V205)</f>
        <v>0</v>
      </c>
      <c r="AE205" s="114">
        <f t="shared" si="213"/>
        <v>0.9274702044879564</v>
      </c>
    </row>
    <row r="206" spans="1:31" ht="12.75">
      <c r="A206" s="16">
        <v>7</v>
      </c>
      <c r="B206" s="15">
        <f t="shared" si="165"/>
        <v>41091</v>
      </c>
      <c r="C206" s="244">
        <f t="shared" si="206"/>
        <v>41124</v>
      </c>
      <c r="D206" s="244">
        <f t="shared" si="206"/>
        <v>41141</v>
      </c>
      <c r="E206" s="30" t="s">
        <v>141</v>
      </c>
      <c r="F206" s="3">
        <v>9</v>
      </c>
      <c r="G206" s="73">
        <v>62</v>
      </c>
      <c r="H206" s="249">
        <f aca="true" t="shared" si="231" ref="H206:H211">$K$8</f>
        <v>1.14</v>
      </c>
      <c r="I206" s="249">
        <f aca="true" t="shared" si="232" ref="I206:I211">J$8</f>
        <v>1.93</v>
      </c>
      <c r="J206" s="56">
        <f t="shared" si="166"/>
        <v>119.66</v>
      </c>
      <c r="K206" s="57">
        <f t="shared" si="224"/>
        <v>70.67999999999999</v>
      </c>
      <c r="L206" s="79">
        <f t="shared" si="229"/>
        <v>48.980000000000004</v>
      </c>
      <c r="M206" s="77">
        <f t="shared" si="225"/>
        <v>1.3879500311849222</v>
      </c>
      <c r="N206" s="78">
        <f t="shared" si="230"/>
        <v>50.367950031184925</v>
      </c>
      <c r="O206" s="16">
        <f t="shared" si="210"/>
        <v>0</v>
      </c>
      <c r="P206" s="16">
        <f t="shared" si="211"/>
        <v>0</v>
      </c>
      <c r="Q206" s="16">
        <f t="shared" si="212"/>
        <v>42</v>
      </c>
      <c r="R206" s="16">
        <f t="shared" si="221"/>
        <v>92</v>
      </c>
      <c r="S206" s="16">
        <f t="shared" si="222"/>
        <v>90</v>
      </c>
      <c r="T206" s="16">
        <f t="shared" si="222"/>
        <v>91</v>
      </c>
      <c r="U206" s="16">
        <f t="shared" si="222"/>
        <v>0</v>
      </c>
      <c r="V206" s="110">
        <f t="shared" si="227"/>
        <v>0</v>
      </c>
      <c r="W206" s="154">
        <f t="shared" si="228"/>
        <v>0</v>
      </c>
      <c r="X206" s="63">
        <f>($L206+SUM($W206:W206))*(P$11*P206)</f>
        <v>0</v>
      </c>
      <c r="Y206" s="63">
        <f>($L206+SUM($W206:X206))*(Q$11*Q206)</f>
        <v>0.18317178082191782</v>
      </c>
      <c r="Z206" s="63">
        <f>($L206+SUM($W206:Y206))*(R$11*R206)</f>
        <v>0.40273392773878774</v>
      </c>
      <c r="AA206" s="63">
        <f>($L206+SUM($W206:Z206))*(S$11*S206)</f>
        <v>0.39720623067819194</v>
      </c>
      <c r="AB206" s="63">
        <f>($L206+SUM($W206:AA206))*(T$11*T206)</f>
        <v>0.40483809194602477</v>
      </c>
      <c r="AC206" s="63">
        <f>($L206+SUM($W206:AB206))*(U$11*U206)</f>
        <v>0</v>
      </c>
      <c r="AD206" s="63">
        <f>($L206+SUM($W206:AB206))*(V$11*V206)</f>
        <v>0</v>
      </c>
      <c r="AE206" s="114">
        <f t="shared" si="213"/>
        <v>1.3879500311849222</v>
      </c>
    </row>
    <row r="207" spans="1:31" ht="12.75">
      <c r="A207" s="3">
        <v>8</v>
      </c>
      <c r="B207" s="15">
        <f t="shared" si="165"/>
        <v>41122</v>
      </c>
      <c r="C207" s="244">
        <f t="shared" si="206"/>
        <v>41158</v>
      </c>
      <c r="D207" s="244">
        <f t="shared" si="206"/>
        <v>41173</v>
      </c>
      <c r="E207" s="30" t="s">
        <v>141</v>
      </c>
      <c r="F207" s="3">
        <v>9</v>
      </c>
      <c r="G207" s="73">
        <v>61</v>
      </c>
      <c r="H207" s="249">
        <f t="shared" si="231"/>
        <v>1.14</v>
      </c>
      <c r="I207" s="249">
        <f t="shared" si="232"/>
        <v>1.93</v>
      </c>
      <c r="J207" s="56">
        <f t="shared" si="166"/>
        <v>117.72999999999999</v>
      </c>
      <c r="K207" s="57">
        <f t="shared" si="224"/>
        <v>69.53999999999999</v>
      </c>
      <c r="L207" s="79">
        <f t="shared" si="229"/>
        <v>48.19</v>
      </c>
      <c r="M207" s="77">
        <f t="shared" si="225"/>
        <v>1.2248904055976493</v>
      </c>
      <c r="N207" s="78">
        <f t="shared" si="230"/>
        <v>49.414890405597646</v>
      </c>
      <c r="O207" s="16">
        <f t="shared" si="210"/>
        <v>0</v>
      </c>
      <c r="P207" s="16">
        <f t="shared" si="211"/>
        <v>0</v>
      </c>
      <c r="Q207" s="16">
        <f t="shared" si="212"/>
        <v>10</v>
      </c>
      <c r="R207" s="16">
        <f t="shared" si="221"/>
        <v>92</v>
      </c>
      <c r="S207" s="16">
        <f t="shared" si="222"/>
        <v>90</v>
      </c>
      <c r="T207" s="16">
        <f t="shared" si="222"/>
        <v>91</v>
      </c>
      <c r="U207" s="16">
        <f t="shared" si="222"/>
        <v>0</v>
      </c>
      <c r="V207" s="110">
        <f t="shared" si="227"/>
        <v>0</v>
      </c>
      <c r="W207" s="154">
        <f t="shared" si="228"/>
        <v>0</v>
      </c>
      <c r="X207" s="63">
        <f>($L207+SUM($W207:W207))*(P$11*P207)</f>
        <v>0</v>
      </c>
      <c r="Y207" s="63">
        <f>($L207+SUM($W207:X207))*(Q$11*Q207)</f>
        <v>0.04290890410958904</v>
      </c>
      <c r="Z207" s="63">
        <f>($L207+SUM($W207:Y207))*(R$11*R207)</f>
        <v>0.39511341814599354</v>
      </c>
      <c r="AA207" s="63">
        <f>($L207+SUM($W207:Z207))*(S$11*S207)</f>
        <v>0.3896903158701303</v>
      </c>
      <c r="AB207" s="63">
        <f>($L207+SUM($W207:AA207))*(T$11*T207)</f>
        <v>0.3971777674719364</v>
      </c>
      <c r="AC207" s="63">
        <f>($L207+SUM($W207:AB207))*(U$11*U207)</f>
        <v>0</v>
      </c>
      <c r="AD207" s="63">
        <f>($L207+SUM($W207:AB207))*(V$11*V207)</f>
        <v>0</v>
      </c>
      <c r="AE207" s="114">
        <f t="shared" si="213"/>
        <v>1.2248904055976493</v>
      </c>
    </row>
    <row r="208" spans="1:31" ht="12.75">
      <c r="A208" s="3">
        <v>9</v>
      </c>
      <c r="B208" s="15">
        <f t="shared" si="165"/>
        <v>41153</v>
      </c>
      <c r="C208" s="244">
        <f t="shared" si="206"/>
        <v>41185</v>
      </c>
      <c r="D208" s="244">
        <f t="shared" si="206"/>
        <v>41200</v>
      </c>
      <c r="E208" s="30" t="s">
        <v>141</v>
      </c>
      <c r="F208" s="3">
        <v>9</v>
      </c>
      <c r="G208" s="73">
        <v>74</v>
      </c>
      <c r="H208" s="249">
        <f t="shared" si="231"/>
        <v>1.14</v>
      </c>
      <c r="I208" s="249">
        <f t="shared" si="232"/>
        <v>1.93</v>
      </c>
      <c r="J208" s="56">
        <f t="shared" si="166"/>
        <v>142.82</v>
      </c>
      <c r="K208" s="57">
        <f t="shared" si="224"/>
        <v>84.36</v>
      </c>
      <c r="L208" s="79">
        <f t="shared" si="229"/>
        <v>58.459999999999994</v>
      </c>
      <c r="M208" s="77">
        <f t="shared" si="225"/>
        <v>1.34268086782661</v>
      </c>
      <c r="N208" s="78">
        <f t="shared" si="230"/>
        <v>59.8026808678266</v>
      </c>
      <c r="O208" s="16">
        <f t="shared" si="210"/>
        <v>0</v>
      </c>
      <c r="P208" s="16">
        <f t="shared" si="211"/>
        <v>0</v>
      </c>
      <c r="Q208" s="16">
        <f t="shared" si="212"/>
        <v>0</v>
      </c>
      <c r="R208" s="16">
        <f t="shared" si="221"/>
        <v>75</v>
      </c>
      <c r="S208" s="16">
        <f t="shared" si="222"/>
        <v>90</v>
      </c>
      <c r="T208" s="16">
        <f t="shared" si="222"/>
        <v>91</v>
      </c>
      <c r="U208" s="16">
        <f t="shared" si="222"/>
        <v>0</v>
      </c>
      <c r="V208" s="110">
        <f t="shared" si="227"/>
        <v>0</v>
      </c>
      <c r="W208" s="154">
        <f t="shared" si="228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0.3904006849315068</v>
      </c>
      <c r="AA208" s="63">
        <f>($L208+SUM($W208:Z208))*(S$11*S208)</f>
        <v>0.47160937535184827</v>
      </c>
      <c r="AB208" s="63">
        <f>($L208+SUM($W208:AA208))*(T$11*T208)</f>
        <v>0.4806708075432548</v>
      </c>
      <c r="AC208" s="63">
        <f>($L208+SUM($W208:AB208))*(U$11*U208)</f>
        <v>0</v>
      </c>
      <c r="AD208" s="63">
        <f>($L208+SUM($W208:AB208))*(V$11*V208)</f>
        <v>0</v>
      </c>
      <c r="AE208" s="114">
        <f t="shared" si="213"/>
        <v>1.34268086782661</v>
      </c>
    </row>
    <row r="209" spans="1:31" ht="12.75">
      <c r="A209" s="16">
        <v>10</v>
      </c>
      <c r="B209" s="15">
        <f t="shared" si="165"/>
        <v>41183</v>
      </c>
      <c r="C209" s="244">
        <f t="shared" si="206"/>
        <v>41218</v>
      </c>
      <c r="D209" s="244">
        <f t="shared" si="206"/>
        <v>41233</v>
      </c>
      <c r="E209" s="30" t="s">
        <v>141</v>
      </c>
      <c r="F209" s="3">
        <v>9</v>
      </c>
      <c r="G209" s="73">
        <v>91</v>
      </c>
      <c r="H209" s="249">
        <f t="shared" si="231"/>
        <v>1.14</v>
      </c>
      <c r="I209" s="249">
        <f t="shared" si="232"/>
        <v>1.93</v>
      </c>
      <c r="J209" s="56">
        <f t="shared" si="166"/>
        <v>175.63</v>
      </c>
      <c r="K209" s="57">
        <f t="shared" si="224"/>
        <v>103.74</v>
      </c>
      <c r="L209" s="79">
        <f t="shared" si="229"/>
        <v>71.89</v>
      </c>
      <c r="M209" s="77">
        <f t="shared" si="225"/>
        <v>1.4364780286722025</v>
      </c>
      <c r="N209" s="78">
        <f t="shared" si="230"/>
        <v>73.3264780286722</v>
      </c>
      <c r="O209" s="16">
        <f t="shared" si="210"/>
        <v>0</v>
      </c>
      <c r="P209" s="16">
        <f t="shared" si="211"/>
        <v>0</v>
      </c>
      <c r="Q209" s="16">
        <f t="shared" si="212"/>
        <v>0</v>
      </c>
      <c r="R209" s="16">
        <f t="shared" si="221"/>
        <v>42</v>
      </c>
      <c r="S209" s="16">
        <f t="shared" si="222"/>
        <v>90</v>
      </c>
      <c r="T209" s="16">
        <f t="shared" si="222"/>
        <v>91</v>
      </c>
      <c r="U209" s="16">
        <f t="shared" si="222"/>
        <v>0</v>
      </c>
      <c r="V209" s="110">
        <f t="shared" si="227"/>
        <v>0</v>
      </c>
      <c r="W209" s="154">
        <f t="shared" si="228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0.26884890410958906</v>
      </c>
      <c r="AA209" s="63">
        <f>($L209+SUM($W209:Z209))*(S$11*S209)</f>
        <v>0.5782592686151248</v>
      </c>
      <c r="AB209" s="63">
        <f>($L209+SUM($W209:AA209))*(T$11*T209)</f>
        <v>0.5893698559474886</v>
      </c>
      <c r="AC209" s="63">
        <f>($L209+SUM($W209:AB209))*(U$11*U209)</f>
        <v>0</v>
      </c>
      <c r="AD209" s="63">
        <f>($L209+SUM($W209:AB209))*(V$11*V209)</f>
        <v>0</v>
      </c>
      <c r="AE209" s="114">
        <f t="shared" si="213"/>
        <v>1.4364780286722025</v>
      </c>
    </row>
    <row r="210" spans="1:31" ht="12.75">
      <c r="A210" s="3">
        <v>11</v>
      </c>
      <c r="B210" s="15">
        <f t="shared" si="165"/>
        <v>41214</v>
      </c>
      <c r="C210" s="244">
        <f t="shared" si="206"/>
        <v>41248</v>
      </c>
      <c r="D210" s="244">
        <f t="shared" si="206"/>
        <v>41263</v>
      </c>
      <c r="E210" s="30" t="s">
        <v>141</v>
      </c>
      <c r="F210" s="3">
        <v>9</v>
      </c>
      <c r="G210" s="73">
        <v>93</v>
      </c>
      <c r="H210" s="249">
        <f t="shared" si="231"/>
        <v>1.14</v>
      </c>
      <c r="I210" s="249">
        <f t="shared" si="232"/>
        <v>1.93</v>
      </c>
      <c r="J210" s="56">
        <f t="shared" si="166"/>
        <v>179.48999999999998</v>
      </c>
      <c r="K210" s="57">
        <f t="shared" si="224"/>
        <v>106.02</v>
      </c>
      <c r="L210" s="79">
        <f t="shared" si="229"/>
        <v>73.46999999999998</v>
      </c>
      <c r="M210" s="77">
        <f t="shared" si="225"/>
        <v>1.2686178121283853</v>
      </c>
      <c r="N210" s="78">
        <f t="shared" si="230"/>
        <v>74.73861781212837</v>
      </c>
      <c r="O210" s="16">
        <f t="shared" si="210"/>
        <v>0</v>
      </c>
      <c r="P210" s="16">
        <f t="shared" si="211"/>
        <v>0</v>
      </c>
      <c r="Q210" s="16">
        <f t="shared" si="212"/>
        <v>0</v>
      </c>
      <c r="R210" s="16">
        <f t="shared" si="221"/>
        <v>12</v>
      </c>
      <c r="S210" s="16">
        <f t="shared" si="222"/>
        <v>90</v>
      </c>
      <c r="T210" s="16">
        <f t="shared" si="222"/>
        <v>91</v>
      </c>
      <c r="U210" s="16">
        <f t="shared" si="222"/>
        <v>0</v>
      </c>
      <c r="V210" s="110">
        <f t="shared" si="227"/>
        <v>0</v>
      </c>
      <c r="W210" s="154">
        <f t="shared" si="228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0.0785021917808219</v>
      </c>
      <c r="AA210" s="63">
        <f>($L210+SUM($W210:Z210))*(S$11*S210)</f>
        <v>0.589395531262901</v>
      </c>
      <c r="AB210" s="63">
        <f>($L210+SUM($W210:AA210))*(T$11*T210)</f>
        <v>0.6007200890846623</v>
      </c>
      <c r="AC210" s="63">
        <f>($L210+SUM($W210:AB210))*(U$11*U210)</f>
        <v>0</v>
      </c>
      <c r="AD210" s="63">
        <f>($L210+SUM($W210:AB210))*(V$11*V210)</f>
        <v>0</v>
      </c>
      <c r="AE210" s="114">
        <f t="shared" si="213"/>
        <v>1.2686178121283853</v>
      </c>
    </row>
    <row r="211" spans="1:31" s="70" customFormat="1" ht="12.75">
      <c r="A211" s="3">
        <v>12</v>
      </c>
      <c r="B211" s="86">
        <f t="shared" si="165"/>
        <v>41244</v>
      </c>
      <c r="C211" s="275">
        <f t="shared" si="206"/>
        <v>41278</v>
      </c>
      <c r="D211" s="275">
        <f t="shared" si="206"/>
        <v>41295</v>
      </c>
      <c r="E211" s="87" t="s">
        <v>141</v>
      </c>
      <c r="F211" s="83">
        <v>9</v>
      </c>
      <c r="G211" s="88">
        <v>95</v>
      </c>
      <c r="H211" s="250">
        <f t="shared" si="231"/>
        <v>1.14</v>
      </c>
      <c r="I211" s="250">
        <f t="shared" si="232"/>
        <v>1.93</v>
      </c>
      <c r="J211" s="89">
        <f t="shared" si="166"/>
        <v>183.35</v>
      </c>
      <c r="K211" s="308">
        <f t="shared" si="224"/>
        <v>108.3</v>
      </c>
      <c r="L211" s="91">
        <f t="shared" si="229"/>
        <v>75.05</v>
      </c>
      <c r="M211" s="92">
        <f t="shared" si="225"/>
        <v>1.0796782921983485</v>
      </c>
      <c r="N211" s="93">
        <f t="shared" si="230"/>
        <v>76.12967829219835</v>
      </c>
      <c r="O211" s="83">
        <f t="shared" si="210"/>
        <v>0</v>
      </c>
      <c r="P211" s="83">
        <f t="shared" si="211"/>
        <v>0</v>
      </c>
      <c r="Q211" s="83">
        <f t="shared" si="212"/>
        <v>0</v>
      </c>
      <c r="R211" s="83">
        <f t="shared" si="221"/>
        <v>0</v>
      </c>
      <c r="S211" s="83">
        <f t="shared" si="222"/>
        <v>70</v>
      </c>
      <c r="T211" s="83">
        <f t="shared" si="222"/>
        <v>91</v>
      </c>
      <c r="U211" s="83">
        <f t="shared" si="222"/>
        <v>0</v>
      </c>
      <c r="V211" s="111">
        <f t="shared" si="227"/>
        <v>0</v>
      </c>
      <c r="W211" s="155">
        <f t="shared" si="228"/>
        <v>0</v>
      </c>
      <c r="X211" s="94">
        <f>($L211+SUM($W211:W211))*(P$11*P211)</f>
        <v>0</v>
      </c>
      <c r="Y211" s="94">
        <f>($L211+SUM($W211:X211))*(Q$11*Q211)</f>
        <v>0</v>
      </c>
      <c r="Z211" s="94">
        <f>($L211+SUM($W211:Y211))*(R$11*R211)</f>
        <v>0</v>
      </c>
      <c r="AA211" s="94">
        <f>($L211+SUM($W211:Z211))*(S$11*S211)</f>
        <v>0.46777739726027395</v>
      </c>
      <c r="AB211" s="94">
        <f>($L211+SUM($W211:AA211))*(T$11*T211)</f>
        <v>0.6119008949380746</v>
      </c>
      <c r="AC211" s="94">
        <f>($L211+SUM($W211:AB211))*(U$11*U211)</f>
        <v>0</v>
      </c>
      <c r="AD211" s="94">
        <f>($L211+SUM($W211:AB211))*(V$11*V211)</f>
        <v>0</v>
      </c>
      <c r="AE211" s="115">
        <f t="shared" si="213"/>
        <v>1.0796782921983485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4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727" activePane="bottomLeft" state="frozen"/>
      <selection pane="topLeft" activeCell="B48" sqref="B48"/>
      <selection pane="bottomLeft" activeCell="F750" sqref="F750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6" t="s">
        <v>193</v>
      </c>
      <c r="H1" s="44" t="s">
        <v>110</v>
      </c>
      <c r="I1" s="44"/>
      <c r="J1" s="44" t="s">
        <v>111</v>
      </c>
      <c r="K1" s="119" t="s">
        <v>133</v>
      </c>
      <c r="L1" s="118" t="s">
        <v>134</v>
      </c>
      <c r="M1" s="118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0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0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0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0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0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0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0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0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0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0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0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0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0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0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0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0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0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0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0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0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0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45" t="s">
        <v>113</v>
      </c>
      <c r="O720" s="245"/>
      <c r="P720" s="245"/>
      <c r="Q720" s="245"/>
      <c r="R720" s="245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0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0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0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0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0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0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0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0">
        <f>AVERAGE(C716:C727)</f>
        <v>0.03889166666666666</v>
      </c>
      <c r="K728" s="60" t="s">
        <v>178</v>
      </c>
      <c r="L728" s="3" t="str">
        <f aca="true" t="shared" si="25" ref="L728:L743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0">
        <f aca="true" t="shared" si="26" ref="J729:J743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0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0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0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0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0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0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0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0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0">
        <f t="shared" si="26"/>
        <v>0.032499999999999994</v>
      </c>
      <c r="K738" s="60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0">
        <f t="shared" si="26"/>
        <v>0.032499999999999994</v>
      </c>
      <c r="K739" s="60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0">
        <f t="shared" si="26"/>
        <v>0.032499999999999994</v>
      </c>
      <c r="K740" s="60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0">
        <f t="shared" si="26"/>
        <v>0.032499999999999994</v>
      </c>
      <c r="K741" s="60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6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0">
        <f t="shared" si="26"/>
        <v>0.032499999999999994</v>
      </c>
      <c r="K742" s="60" t="s">
        <v>237</v>
      </c>
      <c r="L742" s="3" t="str">
        <f t="shared" si="25"/>
        <v> 3.25</v>
      </c>
    </row>
    <row r="743" spans="1:12" ht="12.75">
      <c r="A743" s="39">
        <f t="shared" si="22"/>
        <v>40471</v>
      </c>
      <c r="B743" s="46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20">
        <f t="shared" si="26"/>
        <v>0.032499999999999994</v>
      </c>
      <c r="K743" s="6" t="s">
        <v>252</v>
      </c>
      <c r="L743" s="3" t="str">
        <f t="shared" si="25"/>
        <v> 3.25</v>
      </c>
    </row>
    <row r="744" spans="1:12" ht="12.7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20">
        <f aca="true" t="shared" si="27" ref="J744:J787">AVERAGE(C732:C743)</f>
        <v>0.032499999999999994</v>
      </c>
      <c r="K744" s="6" t="s">
        <v>253</v>
      </c>
      <c r="L744" s="3" t="str">
        <f aca="true" t="shared" si="28" ref="L744:L787">IF(K744=0,L743,RIGHT(K744,5))</f>
        <v> 3.25</v>
      </c>
    </row>
    <row r="745" spans="1:12" ht="12.75">
      <c r="A745" s="39">
        <f t="shared" si="22"/>
        <v>40532</v>
      </c>
      <c r="B745" s="46">
        <v>40532</v>
      </c>
      <c r="C745" s="65">
        <f aca="true" t="shared" si="29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20">
        <f t="shared" si="27"/>
        <v>0.032499999999999994</v>
      </c>
      <c r="K745" s="6" t="s">
        <v>254</v>
      </c>
      <c r="L745" s="3" t="str">
        <f t="shared" si="28"/>
        <v> 3.25</v>
      </c>
    </row>
    <row r="746" spans="1:12" ht="12.75">
      <c r="A746" s="39">
        <f t="shared" si="22"/>
        <v>40563</v>
      </c>
      <c r="B746" s="46">
        <v>40563</v>
      </c>
      <c r="C746" s="65">
        <f t="shared" si="29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20">
        <f t="shared" si="27"/>
        <v>0.032499999999999994</v>
      </c>
      <c r="K746" s="6" t="s">
        <v>255</v>
      </c>
      <c r="L746" s="3" t="str">
        <f t="shared" si="28"/>
        <v> 3.25</v>
      </c>
    </row>
    <row r="747" spans="1:12" ht="12.75">
      <c r="A747" s="45">
        <f t="shared" si="22"/>
        <v>40594</v>
      </c>
      <c r="B747" s="46">
        <v>40594</v>
      </c>
      <c r="C747" s="65">
        <f t="shared" si="29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20">
        <f t="shared" si="27"/>
        <v>0.032499999999999994</v>
      </c>
      <c r="K747" s="6" t="s">
        <v>256</v>
      </c>
      <c r="L747" s="3" t="str">
        <f t="shared" si="28"/>
        <v> 3.25</v>
      </c>
    </row>
    <row r="748" spans="1:12" ht="12.75">
      <c r="A748" s="39">
        <f t="shared" si="22"/>
        <v>40622</v>
      </c>
      <c r="B748" s="46">
        <v>40622</v>
      </c>
      <c r="C748" s="65">
        <f t="shared" si="29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20">
        <f t="shared" si="27"/>
        <v>0.032499999999999994</v>
      </c>
      <c r="K748" s="6" t="s">
        <v>257</v>
      </c>
      <c r="L748" s="3" t="str">
        <f t="shared" si="28"/>
        <v> 3.25</v>
      </c>
    </row>
    <row r="749" spans="1:12" ht="12.75">
      <c r="A749" s="39">
        <f t="shared" si="22"/>
        <v>40653</v>
      </c>
      <c r="B749" s="46">
        <v>40653</v>
      </c>
      <c r="C749" s="65">
        <f t="shared" si="29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20">
        <f t="shared" si="27"/>
        <v>0.032499999999999994</v>
      </c>
      <c r="K749" s="6" t="s">
        <v>258</v>
      </c>
      <c r="L749" s="3" t="str">
        <f t="shared" si="28"/>
        <v> 3.25</v>
      </c>
    </row>
    <row r="750" spans="1:12" ht="12.75">
      <c r="A750" s="45">
        <f t="shared" si="22"/>
        <v>40683</v>
      </c>
      <c r="B750" s="46">
        <v>40683</v>
      </c>
      <c r="C750" s="65">
        <f t="shared" si="29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20">
        <f t="shared" si="27"/>
        <v>0.032499999999999994</v>
      </c>
      <c r="K750" s="6" t="s">
        <v>259</v>
      </c>
      <c r="L750" s="3" t="str">
        <f t="shared" si="28"/>
        <v> 3.25</v>
      </c>
    </row>
    <row r="751" spans="1:12" ht="12.75">
      <c r="A751" s="39">
        <f t="shared" si="22"/>
        <v>40714</v>
      </c>
      <c r="B751" s="46">
        <v>40714</v>
      </c>
      <c r="C751" s="65">
        <f t="shared" si="29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20">
        <f t="shared" si="27"/>
        <v>0.032499999999999994</v>
      </c>
      <c r="K751" s="6" t="s">
        <v>260</v>
      </c>
      <c r="L751" s="3" t="str">
        <f t="shared" si="28"/>
        <v> 3.25</v>
      </c>
    </row>
    <row r="752" spans="1:12" ht="12.75">
      <c r="A752" s="39">
        <f t="shared" si="22"/>
        <v>40744</v>
      </c>
      <c r="B752" s="46">
        <v>40744</v>
      </c>
      <c r="C752" s="65">
        <f t="shared" si="29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20">
        <f t="shared" si="27"/>
        <v>0.032499999999999994</v>
      </c>
      <c r="K752" s="6" t="s">
        <v>261</v>
      </c>
      <c r="L752" s="3" t="str">
        <f t="shared" si="28"/>
        <v> 3.25</v>
      </c>
    </row>
    <row r="753" spans="1:12" ht="12.75">
      <c r="A753" s="45">
        <f t="shared" si="22"/>
        <v>40775</v>
      </c>
      <c r="B753" s="46">
        <v>40775</v>
      </c>
      <c r="C753" s="65">
        <f t="shared" si="29"/>
        <v>0.0325</v>
      </c>
      <c r="E753" s="66" t="str">
        <f t="shared" si="23"/>
        <v>3Q2011</v>
      </c>
      <c r="F753" s="49">
        <f>+F752</f>
        <v>0.0325</v>
      </c>
      <c r="H753" s="6">
        <v>40756</v>
      </c>
      <c r="I753" s="6"/>
      <c r="J753" s="120">
        <f t="shared" si="27"/>
        <v>0.032499999999999994</v>
      </c>
      <c r="K753" s="6" t="s">
        <v>262</v>
      </c>
      <c r="L753" s="3" t="str">
        <f t="shared" si="28"/>
        <v> 3.25</v>
      </c>
    </row>
    <row r="754" spans="1:12" ht="12.75">
      <c r="A754" s="39">
        <f t="shared" si="22"/>
        <v>40806</v>
      </c>
      <c r="B754" s="40">
        <v>40806</v>
      </c>
      <c r="C754" s="65">
        <f t="shared" si="29"/>
        <v>0.0325</v>
      </c>
      <c r="E754" s="66" t="str">
        <f t="shared" si="23"/>
        <v>3Q2011</v>
      </c>
      <c r="F754" s="49">
        <f>+F753</f>
        <v>0.0325</v>
      </c>
      <c r="H754" s="6">
        <v>40787</v>
      </c>
      <c r="I754" s="6"/>
      <c r="J754" s="120">
        <f t="shared" si="27"/>
        <v>0.032499999999999994</v>
      </c>
      <c r="K754" s="6" t="s">
        <v>263</v>
      </c>
      <c r="L754" s="3" t="str">
        <f t="shared" si="28"/>
        <v> 3.25</v>
      </c>
    </row>
    <row r="755" spans="1:12" ht="12.75">
      <c r="A755" s="39">
        <f t="shared" si="22"/>
        <v>40836</v>
      </c>
      <c r="B755" s="40">
        <v>40836</v>
      </c>
      <c r="C755" s="65">
        <f t="shared" si="29"/>
        <v>0.0325</v>
      </c>
      <c r="E755" s="66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I755" s="6"/>
      <c r="J755" s="120">
        <f t="shared" si="27"/>
        <v>0.032499999999999994</v>
      </c>
      <c r="K755" s="6" t="s">
        <v>264</v>
      </c>
      <c r="L755" s="3" t="str">
        <f t="shared" si="28"/>
        <v> 3.25</v>
      </c>
    </row>
    <row r="756" spans="1:12" ht="12.75">
      <c r="A756" s="45">
        <f t="shared" si="22"/>
        <v>40867</v>
      </c>
      <c r="B756" s="46">
        <v>40867</v>
      </c>
      <c r="C756" s="65">
        <f t="shared" si="29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I756" s="6"/>
      <c r="J756" s="120">
        <f t="shared" si="27"/>
        <v>0.032499999999999994</v>
      </c>
      <c r="K756" s="6" t="s">
        <v>265</v>
      </c>
      <c r="L756" s="3" t="str">
        <f t="shared" si="28"/>
        <v> 3.25</v>
      </c>
    </row>
    <row r="757" spans="1:12" ht="12.75">
      <c r="A757" s="39">
        <f t="shared" si="22"/>
        <v>40897</v>
      </c>
      <c r="B757" s="40">
        <v>40897</v>
      </c>
      <c r="C757" s="65">
        <f t="shared" si="29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I757" s="6"/>
      <c r="J757" s="120">
        <f t="shared" si="27"/>
        <v>0.032499999999999994</v>
      </c>
      <c r="K757" s="6" t="s">
        <v>266</v>
      </c>
      <c r="L757" s="3" t="str">
        <f t="shared" si="28"/>
        <v> 3.25</v>
      </c>
    </row>
    <row r="758" spans="1:12" ht="12.75">
      <c r="A758" s="39">
        <f t="shared" si="22"/>
        <v>40928</v>
      </c>
      <c r="B758" s="40">
        <v>40928</v>
      </c>
      <c r="C758" s="65">
        <f t="shared" si="29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I758" s="6"/>
      <c r="J758" s="120">
        <f t="shared" si="27"/>
        <v>0.032499999999999994</v>
      </c>
      <c r="K758" s="6" t="s">
        <v>267</v>
      </c>
      <c r="L758" s="3" t="str">
        <f t="shared" si="28"/>
        <v> 3.25</v>
      </c>
    </row>
    <row r="759" spans="1:12" ht="12.75">
      <c r="A759" s="45">
        <f t="shared" si="22"/>
        <v>40959</v>
      </c>
      <c r="B759" s="46">
        <v>40959</v>
      </c>
      <c r="C759" s="65">
        <f t="shared" si="29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I759" s="6"/>
      <c r="J759" s="120">
        <f t="shared" si="27"/>
        <v>0.032499999999999994</v>
      </c>
      <c r="K759" s="6" t="s">
        <v>268</v>
      </c>
      <c r="L759" s="3" t="str">
        <f t="shared" si="28"/>
        <v> 3.25</v>
      </c>
    </row>
    <row r="760" spans="1:12" ht="12.75">
      <c r="A760" s="39">
        <f t="shared" si="22"/>
        <v>40988</v>
      </c>
      <c r="B760" s="40">
        <v>40988</v>
      </c>
      <c r="C760" s="65">
        <f t="shared" si="29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I760" s="6"/>
      <c r="J760" s="120">
        <f t="shared" si="27"/>
        <v>0.032499999999999994</v>
      </c>
      <c r="K760" s="6" t="s">
        <v>269</v>
      </c>
      <c r="L760" s="3" t="str">
        <f t="shared" si="28"/>
        <v> 3.25</v>
      </c>
    </row>
    <row r="761" spans="1:12" ht="12.75">
      <c r="A761" s="39">
        <f t="shared" si="22"/>
        <v>41019</v>
      </c>
      <c r="B761" s="40">
        <v>41019</v>
      </c>
      <c r="C761" s="65">
        <f t="shared" si="29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I761" s="6"/>
      <c r="J761" s="120">
        <f t="shared" si="27"/>
        <v>0.032499999999999994</v>
      </c>
      <c r="K761" s="6" t="s">
        <v>270</v>
      </c>
      <c r="L761" s="3" t="str">
        <f t="shared" si="28"/>
        <v> 3.25</v>
      </c>
    </row>
    <row r="762" spans="1:12" ht="12.75">
      <c r="A762" s="45">
        <f t="shared" si="22"/>
        <v>41049</v>
      </c>
      <c r="B762" s="46">
        <v>41049</v>
      </c>
      <c r="C762" s="65">
        <f t="shared" si="29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I762" s="6"/>
      <c r="J762" s="120">
        <f t="shared" si="27"/>
        <v>0.032499999999999994</v>
      </c>
      <c r="K762" s="6" t="s">
        <v>271</v>
      </c>
      <c r="L762" s="3" t="str">
        <f t="shared" si="28"/>
        <v> 3.25</v>
      </c>
    </row>
    <row r="763" spans="1:12" ht="12.75">
      <c r="A763" s="39">
        <f t="shared" si="22"/>
        <v>41080</v>
      </c>
      <c r="B763" s="40">
        <v>41080</v>
      </c>
      <c r="C763" s="65">
        <f t="shared" si="29"/>
        <v>0.0325</v>
      </c>
      <c r="E763" s="3" t="str">
        <f t="shared" si="23"/>
        <v>2Q2012</v>
      </c>
      <c r="F763" s="49">
        <f>+F762</f>
        <v>0.0325</v>
      </c>
      <c r="H763" s="6">
        <v>41030</v>
      </c>
      <c r="I763" s="6"/>
      <c r="J763" s="120">
        <f t="shared" si="27"/>
        <v>0.032499999999999994</v>
      </c>
      <c r="K763" s="6" t="s">
        <v>272</v>
      </c>
      <c r="L763" s="3" t="str">
        <f t="shared" si="28"/>
        <v> 3.25</v>
      </c>
    </row>
    <row r="764" spans="1:12" ht="12.75">
      <c r="A764" s="39">
        <f t="shared" si="22"/>
        <v>41110</v>
      </c>
      <c r="B764" s="40">
        <v>41110</v>
      </c>
      <c r="C764" s="65">
        <f t="shared" si="29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41455</v>
      </c>
      <c r="I764" s="6"/>
      <c r="J764" s="120">
        <f t="shared" si="27"/>
        <v>0.032499999999999994</v>
      </c>
      <c r="K764" s="6" t="s">
        <v>273</v>
      </c>
      <c r="L764" s="3" t="str">
        <f t="shared" si="28"/>
        <v> 3.25</v>
      </c>
    </row>
    <row r="765" spans="1:12" ht="12.75">
      <c r="A765" s="45">
        <f t="shared" si="22"/>
        <v>41141</v>
      </c>
      <c r="B765" s="46">
        <v>41141</v>
      </c>
      <c r="C765" s="65">
        <f t="shared" si="29"/>
        <v>0.0325</v>
      </c>
      <c r="E765" s="3" t="str">
        <f t="shared" si="23"/>
        <v>3Q2012</v>
      </c>
      <c r="F765" s="49">
        <f>+F764</f>
        <v>0.0325</v>
      </c>
      <c r="H765" s="6">
        <v>41455</v>
      </c>
      <c r="I765" s="6"/>
      <c r="J765" s="120">
        <f t="shared" si="27"/>
        <v>0.032499999999999994</v>
      </c>
      <c r="K765" s="6" t="s">
        <v>274</v>
      </c>
      <c r="L765" s="3" t="str">
        <f t="shared" si="28"/>
        <v> 3.25</v>
      </c>
    </row>
    <row r="766" spans="1:12" ht="12.75">
      <c r="A766" s="39">
        <f t="shared" si="22"/>
        <v>41172</v>
      </c>
      <c r="B766" s="40">
        <v>41172</v>
      </c>
      <c r="C766" s="65">
        <f t="shared" si="29"/>
        <v>0.0325</v>
      </c>
      <c r="E766" s="3" t="str">
        <f t="shared" si="23"/>
        <v>3Q2012</v>
      </c>
      <c r="F766" s="49">
        <f>+F765</f>
        <v>0.0325</v>
      </c>
      <c r="H766" s="6">
        <v>41455</v>
      </c>
      <c r="I766" s="6"/>
      <c r="J766" s="120">
        <f t="shared" si="27"/>
        <v>0.032499999999999994</v>
      </c>
      <c r="K766" s="6" t="s">
        <v>275</v>
      </c>
      <c r="L766" s="3" t="str">
        <f t="shared" si="28"/>
        <v> 3.25</v>
      </c>
    </row>
    <row r="767" spans="1:12" ht="12.75">
      <c r="A767" s="39">
        <f t="shared" si="22"/>
        <v>41202</v>
      </c>
      <c r="B767" s="40">
        <v>41202</v>
      </c>
      <c r="C767" s="65">
        <f t="shared" si="29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41455</v>
      </c>
      <c r="I767" s="6"/>
      <c r="J767" s="120">
        <f t="shared" si="27"/>
        <v>0.032499999999999994</v>
      </c>
      <c r="K767" s="6" t="s">
        <v>276</v>
      </c>
      <c r="L767" s="3" t="str">
        <f t="shared" si="28"/>
        <v> 3.25</v>
      </c>
    </row>
    <row r="768" spans="1:12" ht="12.75">
      <c r="A768" s="45">
        <f t="shared" si="22"/>
        <v>41233</v>
      </c>
      <c r="B768" s="46">
        <v>41233</v>
      </c>
      <c r="C768" s="65">
        <f t="shared" si="29"/>
        <v>0.0325</v>
      </c>
      <c r="E768" s="3" t="str">
        <f t="shared" si="23"/>
        <v>4Q2012</v>
      </c>
      <c r="F768" s="49">
        <f>+F767</f>
        <v>0.0325</v>
      </c>
      <c r="H768" s="6">
        <v>41455</v>
      </c>
      <c r="I768" s="6"/>
      <c r="J768" s="120">
        <f t="shared" si="27"/>
        <v>0.032499999999999994</v>
      </c>
      <c r="K768" s="6" t="s">
        <v>276</v>
      </c>
      <c r="L768" s="3" t="str">
        <f t="shared" si="28"/>
        <v> 3.25</v>
      </c>
    </row>
    <row r="769" spans="1:12" ht="12.75">
      <c r="A769" s="39">
        <f t="shared" si="22"/>
        <v>41263</v>
      </c>
      <c r="B769" s="40">
        <v>41263</v>
      </c>
      <c r="C769" s="65">
        <f t="shared" si="29"/>
        <v>0.0325</v>
      </c>
      <c r="E769" s="3" t="str">
        <f t="shared" si="23"/>
        <v>4Q2012</v>
      </c>
      <c r="F769" s="49">
        <f>+F768</f>
        <v>0.0325</v>
      </c>
      <c r="H769" s="6">
        <v>41455</v>
      </c>
      <c r="I769" s="6"/>
      <c r="J769" s="120">
        <f t="shared" si="27"/>
        <v>0.032499999999999994</v>
      </c>
      <c r="K769" s="6" t="s">
        <v>277</v>
      </c>
      <c r="L769" s="3" t="str">
        <f t="shared" si="28"/>
        <v> 3.25</v>
      </c>
    </row>
    <row r="770" spans="1:12" ht="12.75">
      <c r="A770" s="39">
        <f t="shared" si="22"/>
        <v>41294</v>
      </c>
      <c r="B770" s="40">
        <v>41294</v>
      </c>
      <c r="C770" s="65">
        <f t="shared" si="29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41455</v>
      </c>
      <c r="I770" s="6"/>
      <c r="J770" s="120">
        <f t="shared" si="27"/>
        <v>0.032499999999999994</v>
      </c>
      <c r="K770" s="6" t="s">
        <v>278</v>
      </c>
      <c r="L770" s="3" t="str">
        <f t="shared" si="28"/>
        <v> 3.25</v>
      </c>
    </row>
    <row r="771" spans="1:12" ht="12.75">
      <c r="A771" s="45">
        <f t="shared" si="22"/>
        <v>41325</v>
      </c>
      <c r="B771" s="46">
        <v>41325</v>
      </c>
      <c r="C771" s="65">
        <f t="shared" si="29"/>
        <v>0.0325</v>
      </c>
      <c r="E771" s="3" t="str">
        <f t="shared" si="23"/>
        <v>1Q2013</v>
      </c>
      <c r="F771" s="49">
        <f>+F770</f>
        <v>0.0325</v>
      </c>
      <c r="H771" s="6">
        <v>41455</v>
      </c>
      <c r="I771" s="6"/>
      <c r="J771" s="120">
        <f t="shared" si="27"/>
        <v>0.032499999999999994</v>
      </c>
      <c r="K771" s="6" t="s">
        <v>279</v>
      </c>
      <c r="L771" s="3" t="str">
        <f t="shared" si="28"/>
        <v> 3.25</v>
      </c>
    </row>
    <row r="772" spans="1:12" ht="12.75">
      <c r="A772" s="39">
        <f t="shared" si="22"/>
        <v>41353</v>
      </c>
      <c r="B772" s="40">
        <v>41353</v>
      </c>
      <c r="C772" s="65">
        <f t="shared" si="29"/>
        <v>0.0325</v>
      </c>
      <c r="E772" s="3" t="str">
        <f t="shared" si="23"/>
        <v>1Q2013</v>
      </c>
      <c r="F772" s="49">
        <f>+F771</f>
        <v>0.0325</v>
      </c>
      <c r="H772" s="6">
        <v>41455</v>
      </c>
      <c r="I772" s="6"/>
      <c r="J772" s="120">
        <f t="shared" si="27"/>
        <v>0.032499999999999994</v>
      </c>
      <c r="K772" s="6" t="s">
        <v>280</v>
      </c>
      <c r="L772" s="3" t="str">
        <f t="shared" si="28"/>
        <v> 3.25</v>
      </c>
    </row>
    <row r="773" spans="1:12" ht="12.75">
      <c r="A773" s="39">
        <f aca="true" t="shared" si="30" ref="A773:A836">+B773</f>
        <v>41384</v>
      </c>
      <c r="B773" s="40">
        <v>41384</v>
      </c>
      <c r="C773" s="65">
        <f t="shared" si="29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41455</v>
      </c>
      <c r="I773" s="6"/>
      <c r="J773" s="120">
        <f t="shared" si="27"/>
        <v>0.032499999999999994</v>
      </c>
      <c r="K773" s="6" t="s">
        <v>281</v>
      </c>
      <c r="L773" s="3" t="str">
        <f t="shared" si="28"/>
        <v> 3.25</v>
      </c>
    </row>
    <row r="774" spans="1:12" ht="12.75">
      <c r="A774" s="45">
        <f t="shared" si="30"/>
        <v>41414</v>
      </c>
      <c r="B774" s="46">
        <v>41414</v>
      </c>
      <c r="C774" s="65">
        <f t="shared" si="29"/>
        <v>0.0325</v>
      </c>
      <c r="E774" s="3" t="str">
        <f t="shared" si="23"/>
        <v>2Q2013</v>
      </c>
      <c r="F774" s="49">
        <f>+F773</f>
        <v>0.0325</v>
      </c>
      <c r="H774" s="6">
        <v>41455</v>
      </c>
      <c r="I774" s="6"/>
      <c r="J774" s="120">
        <f t="shared" si="27"/>
        <v>0.032499999999999994</v>
      </c>
      <c r="K774" s="6" t="s">
        <v>282</v>
      </c>
      <c r="L774" s="3" t="str">
        <f t="shared" si="28"/>
        <v> 3.25</v>
      </c>
    </row>
    <row r="775" spans="1:12" ht="12.75">
      <c r="A775" s="39">
        <f t="shared" si="30"/>
        <v>41445</v>
      </c>
      <c r="B775" s="40">
        <v>41445</v>
      </c>
      <c r="C775" s="65">
        <f t="shared" si="29"/>
        <v>0.0325</v>
      </c>
      <c r="E775" s="3" t="str">
        <f t="shared" si="23"/>
        <v>2Q2013</v>
      </c>
      <c r="F775" s="49">
        <f>+F774</f>
        <v>0.0325</v>
      </c>
      <c r="H775" s="6">
        <v>41455</v>
      </c>
      <c r="I775" s="6"/>
      <c r="J775" s="120">
        <f t="shared" si="27"/>
        <v>0.032499999999999994</v>
      </c>
      <c r="K775" s="6" t="s">
        <v>283</v>
      </c>
      <c r="L775" s="3" t="str">
        <f t="shared" si="28"/>
        <v> 3.25</v>
      </c>
    </row>
    <row r="776" spans="1:12" ht="12.75">
      <c r="A776" s="39">
        <f t="shared" si="30"/>
        <v>41475</v>
      </c>
      <c r="B776" s="40">
        <v>41475</v>
      </c>
      <c r="C776" s="65">
        <f t="shared" si="29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41820</v>
      </c>
      <c r="I776" s="6"/>
      <c r="J776" s="120">
        <f t="shared" si="27"/>
        <v>0.032499999999999994</v>
      </c>
      <c r="K776" s="6" t="s">
        <v>284</v>
      </c>
      <c r="L776" s="3" t="str">
        <f t="shared" si="28"/>
        <v> 3.25</v>
      </c>
    </row>
    <row r="777" spans="1:12" ht="12.75">
      <c r="A777" s="45">
        <f t="shared" si="30"/>
        <v>41506</v>
      </c>
      <c r="B777" s="46">
        <v>41506</v>
      </c>
      <c r="C777" s="65">
        <f t="shared" si="29"/>
        <v>0.0325</v>
      </c>
      <c r="E777" s="3" t="str">
        <f t="shared" si="23"/>
        <v>3Q2013</v>
      </c>
      <c r="F777" s="49">
        <f>+F776</f>
        <v>0.0325</v>
      </c>
      <c r="H777" s="6">
        <v>41820</v>
      </c>
      <c r="I777" s="6"/>
      <c r="J777" s="120">
        <f t="shared" si="27"/>
        <v>0.032499999999999994</v>
      </c>
      <c r="K777" s="6" t="s">
        <v>285</v>
      </c>
      <c r="L777" s="3" t="str">
        <f t="shared" si="28"/>
        <v> 3.25</v>
      </c>
    </row>
    <row r="778" spans="1:12" ht="12.75">
      <c r="A778" s="39">
        <f t="shared" si="30"/>
        <v>41537</v>
      </c>
      <c r="B778" s="40">
        <v>41537</v>
      </c>
      <c r="C778" s="65">
        <f t="shared" si="29"/>
        <v>0.0325</v>
      </c>
      <c r="E778" s="3" t="str">
        <f t="shared" si="23"/>
        <v>3Q2013</v>
      </c>
      <c r="F778" s="49">
        <f>+F777</f>
        <v>0.0325</v>
      </c>
      <c r="H778" s="6">
        <v>41820</v>
      </c>
      <c r="I778" s="6"/>
      <c r="J778" s="120">
        <f t="shared" si="27"/>
        <v>0.032499999999999994</v>
      </c>
      <c r="K778" s="6" t="s">
        <v>286</v>
      </c>
      <c r="L778" s="3" t="str">
        <f t="shared" si="28"/>
        <v> 3.25</v>
      </c>
    </row>
    <row r="779" spans="1:12" ht="12.75">
      <c r="A779" s="39">
        <f t="shared" si="30"/>
        <v>41567</v>
      </c>
      <c r="B779" s="40">
        <v>41567</v>
      </c>
      <c r="C779" s="65">
        <f t="shared" si="29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41820</v>
      </c>
      <c r="I779" s="6"/>
      <c r="J779" s="120">
        <f t="shared" si="27"/>
        <v>0.032499999999999994</v>
      </c>
      <c r="K779" s="6" t="s">
        <v>287</v>
      </c>
      <c r="L779" s="3" t="str">
        <f t="shared" si="28"/>
        <v> 3.25</v>
      </c>
    </row>
    <row r="780" spans="1:12" ht="12.75">
      <c r="A780" s="45">
        <f t="shared" si="30"/>
        <v>41598</v>
      </c>
      <c r="B780" s="46">
        <v>41598</v>
      </c>
      <c r="C780" s="65">
        <f t="shared" si="29"/>
        <v>0.0325</v>
      </c>
      <c r="E780" s="3" t="str">
        <f t="shared" si="31"/>
        <v>4Q2013</v>
      </c>
      <c r="F780" s="49">
        <f>+F779</f>
        <v>0.0325</v>
      </c>
      <c r="H780" s="6">
        <v>41820</v>
      </c>
      <c r="I780" s="6"/>
      <c r="J780" s="120">
        <f t="shared" si="27"/>
        <v>0.032499999999999994</v>
      </c>
      <c r="K780" s="6" t="s">
        <v>288</v>
      </c>
      <c r="L780" s="3" t="str">
        <f t="shared" si="28"/>
        <v> 3.25</v>
      </c>
    </row>
    <row r="781" spans="1:12" ht="12.75">
      <c r="A781" s="39">
        <f t="shared" si="30"/>
        <v>41628</v>
      </c>
      <c r="B781" s="40">
        <v>41628</v>
      </c>
      <c r="C781" s="65">
        <f t="shared" si="29"/>
        <v>0.0325</v>
      </c>
      <c r="E781" s="3" t="str">
        <f t="shared" si="31"/>
        <v>4Q2013</v>
      </c>
      <c r="F781" s="49">
        <f>+F780</f>
        <v>0.0325</v>
      </c>
      <c r="H781" s="6">
        <v>41820</v>
      </c>
      <c r="I781" s="6"/>
      <c r="J781" s="120">
        <f t="shared" si="27"/>
        <v>0.032499999999999994</v>
      </c>
      <c r="K781" s="6" t="s">
        <v>289</v>
      </c>
      <c r="L781" s="3" t="str">
        <f t="shared" si="28"/>
        <v> 3.25</v>
      </c>
    </row>
    <row r="782" spans="1:12" ht="12.75">
      <c r="A782" s="39">
        <f t="shared" si="30"/>
        <v>41659</v>
      </c>
      <c r="B782" s="40">
        <v>41659</v>
      </c>
      <c r="C782" s="65">
        <f t="shared" si="29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41820</v>
      </c>
      <c r="I782" s="6"/>
      <c r="J782" s="120">
        <f t="shared" si="27"/>
        <v>0.032499999999999994</v>
      </c>
      <c r="K782" s="6" t="s">
        <v>290</v>
      </c>
      <c r="L782" s="3" t="str">
        <f t="shared" si="28"/>
        <v> 3.25</v>
      </c>
    </row>
    <row r="783" spans="1:12" ht="12.75">
      <c r="A783" s="45">
        <f t="shared" si="30"/>
        <v>41690</v>
      </c>
      <c r="B783" s="46">
        <v>41690</v>
      </c>
      <c r="C783" s="65">
        <f t="shared" si="29"/>
        <v>0.0325</v>
      </c>
      <c r="E783" s="3" t="str">
        <f t="shared" si="31"/>
        <v>1Q2014</v>
      </c>
      <c r="F783" s="49">
        <f>+F782</f>
        <v>0.0325</v>
      </c>
      <c r="H783" s="6">
        <v>41820</v>
      </c>
      <c r="I783" s="6"/>
      <c r="J783" s="120">
        <f t="shared" si="27"/>
        <v>0.032499999999999994</v>
      </c>
      <c r="K783" s="6" t="s">
        <v>291</v>
      </c>
      <c r="L783" s="3" t="str">
        <f t="shared" si="28"/>
        <v> 3.25</v>
      </c>
    </row>
    <row r="784" spans="1:12" ht="12.75">
      <c r="A784" s="39">
        <f t="shared" si="30"/>
        <v>41718</v>
      </c>
      <c r="B784" s="40">
        <v>41718</v>
      </c>
      <c r="C784" s="65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41820</v>
      </c>
      <c r="I784" s="6"/>
      <c r="J784" s="120">
        <f t="shared" si="27"/>
        <v>0.032499999999999994</v>
      </c>
      <c r="K784" s="6" t="s">
        <v>292</v>
      </c>
      <c r="L784" s="3" t="str">
        <f t="shared" si="28"/>
        <v> 3.25</v>
      </c>
    </row>
    <row r="785" spans="1:12" ht="12.75">
      <c r="A785" s="39">
        <f t="shared" si="30"/>
        <v>41749</v>
      </c>
      <c r="B785" s="40">
        <v>41749</v>
      </c>
      <c r="C785" s="65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41820</v>
      </c>
      <c r="I785" s="6"/>
      <c r="J785" s="120">
        <f t="shared" si="27"/>
        <v>0.032499999999999994</v>
      </c>
      <c r="K785" s="6" t="s">
        <v>293</v>
      </c>
      <c r="L785" s="3" t="str">
        <f t="shared" si="28"/>
        <v> 3.25</v>
      </c>
    </row>
    <row r="786" spans="1:12" ht="12.75">
      <c r="A786" s="45">
        <f t="shared" si="30"/>
        <v>41779</v>
      </c>
      <c r="B786" s="46">
        <v>41779</v>
      </c>
      <c r="C786" s="65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41820</v>
      </c>
      <c r="I786" s="6"/>
      <c r="J786" s="120">
        <f t="shared" si="27"/>
        <v>0.032499999999999994</v>
      </c>
      <c r="K786" s="6" t="s">
        <v>294</v>
      </c>
      <c r="L786" s="3" t="str">
        <f t="shared" si="28"/>
        <v> 3.25</v>
      </c>
    </row>
    <row r="787" spans="1:12" ht="12.75">
      <c r="A787" s="39">
        <f t="shared" si="30"/>
        <v>41810</v>
      </c>
      <c r="B787" s="40">
        <v>41810</v>
      </c>
      <c r="C787" s="65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41820</v>
      </c>
      <c r="I787" s="6"/>
      <c r="J787" s="120">
        <f t="shared" si="27"/>
        <v>0.032499999999999994</v>
      </c>
      <c r="K787" s="6" t="s">
        <v>295</v>
      </c>
      <c r="L787" s="3" t="str">
        <f t="shared" si="28"/>
        <v> 3.25</v>
      </c>
    </row>
    <row r="788" spans="1:6" ht="12.75">
      <c r="A788" s="39">
        <f t="shared" si="30"/>
        <v>41840</v>
      </c>
      <c r="B788" s="40">
        <v>41840</v>
      </c>
      <c r="C788" s="65">
        <f t="shared" si="32"/>
        <v>0</v>
      </c>
      <c r="E788" s="3" t="str">
        <f t="shared" si="31"/>
        <v>3Q2014</v>
      </c>
      <c r="F788" s="49">
        <f>IF(COUNTIF(C784:C786,"&gt;0")&lt;3,"N/A",AVERAGE(C784:C786))</f>
        <v>0.0325</v>
      </c>
    </row>
    <row r="789" spans="1:6" ht="12.75">
      <c r="A789" s="45">
        <f t="shared" si="30"/>
        <v>41871</v>
      </c>
      <c r="B789" s="46">
        <v>41871</v>
      </c>
      <c r="C789" s="65">
        <f t="shared" si="32"/>
        <v>0</v>
      </c>
      <c r="E789" s="3" t="str">
        <f t="shared" si="31"/>
        <v>3Q2014</v>
      </c>
      <c r="F789" s="49">
        <f>+F788</f>
        <v>0.0325</v>
      </c>
    </row>
    <row r="790" spans="1:6" ht="12.75">
      <c r="A790" s="39">
        <f t="shared" si="30"/>
        <v>41902</v>
      </c>
      <c r="B790" s="40">
        <v>41902</v>
      </c>
      <c r="C790" s="65">
        <f t="shared" si="32"/>
        <v>0</v>
      </c>
      <c r="E790" s="3" t="str">
        <f t="shared" si="31"/>
        <v>3Q2014</v>
      </c>
      <c r="F790" s="49">
        <f>+F789</f>
        <v>0.0325</v>
      </c>
    </row>
    <row r="791" spans="1:6" ht="12.75">
      <c r="A791" s="39">
        <f t="shared" si="30"/>
        <v>41932</v>
      </c>
      <c r="B791" s="40">
        <v>41932</v>
      </c>
      <c r="C791" s="65">
        <f t="shared" si="32"/>
        <v>0</v>
      </c>
      <c r="E791" s="3" t="str">
        <f t="shared" si="31"/>
        <v>4Q2014</v>
      </c>
      <c r="F791" s="49" t="str">
        <f>IF(COUNTIF(C787:C789,"&gt;0")&lt;3,"N/A",AVERAGE(C787:C789))</f>
        <v>N/A</v>
      </c>
    </row>
    <row r="792" spans="1:6" ht="12.75">
      <c r="A792" s="45">
        <f t="shared" si="30"/>
        <v>41963</v>
      </c>
      <c r="B792" s="46">
        <v>41963</v>
      </c>
      <c r="C792" s="65">
        <f t="shared" si="32"/>
        <v>0</v>
      </c>
      <c r="E792" s="3" t="str">
        <f t="shared" si="31"/>
        <v>4Q2014</v>
      </c>
      <c r="F792" s="49" t="str">
        <f>+F791</f>
        <v>N/A</v>
      </c>
    </row>
    <row r="793" spans="1:6" ht="12.75">
      <c r="A793" s="39">
        <f t="shared" si="30"/>
        <v>41993</v>
      </c>
      <c r="B793" s="40">
        <v>41993</v>
      </c>
      <c r="C793" s="65">
        <f t="shared" si="32"/>
        <v>0</v>
      </c>
      <c r="E793" s="3" t="str">
        <f t="shared" si="31"/>
        <v>4Q2014</v>
      </c>
      <c r="F793" s="49" t="str">
        <f>+F792</f>
        <v>N/A</v>
      </c>
    </row>
    <row r="794" spans="1:6" ht="12.75">
      <c r="A794" s="39">
        <f t="shared" si="30"/>
        <v>42024</v>
      </c>
      <c r="B794" s="40">
        <v>42024</v>
      </c>
      <c r="C794" s="65">
        <f t="shared" si="32"/>
        <v>0</v>
      </c>
      <c r="E794" s="3" t="str">
        <f t="shared" si="31"/>
        <v>1Q2015</v>
      </c>
      <c r="F794" s="49" t="str">
        <f>IF(COUNTIF(C790:C792,"&gt;0")&lt;3,"N/A",AVERAGE(C790:C792))</f>
        <v>N/A</v>
      </c>
    </row>
    <row r="795" spans="1:6" ht="12.75">
      <c r="A795" s="45">
        <f t="shared" si="30"/>
        <v>42055</v>
      </c>
      <c r="B795" s="46">
        <v>42055</v>
      </c>
      <c r="C795" s="65">
        <f t="shared" si="32"/>
        <v>0</v>
      </c>
      <c r="E795" s="3" t="str">
        <f t="shared" si="31"/>
        <v>1Q2015</v>
      </c>
      <c r="F795" s="49" t="str">
        <f>+F794</f>
        <v>N/A</v>
      </c>
    </row>
    <row r="796" spans="1:6" ht="12.75">
      <c r="A796" s="39">
        <f t="shared" si="30"/>
        <v>42083</v>
      </c>
      <c r="B796" s="40">
        <v>42083</v>
      </c>
      <c r="C796" s="65">
        <f t="shared" si="32"/>
        <v>0</v>
      </c>
      <c r="E796" s="3" t="str">
        <f t="shared" si="31"/>
        <v>1Q2015</v>
      </c>
      <c r="F796" s="49" t="str">
        <f>+F795</f>
        <v>N/A</v>
      </c>
    </row>
    <row r="797" spans="1:6" ht="12.75">
      <c r="A797" s="39">
        <f t="shared" si="30"/>
        <v>42114</v>
      </c>
      <c r="B797" s="40">
        <v>42114</v>
      </c>
      <c r="C797" s="65">
        <f t="shared" si="32"/>
        <v>0</v>
      </c>
      <c r="E797" s="3" t="str">
        <f t="shared" si="31"/>
        <v>2Q2015</v>
      </c>
      <c r="F797" s="49" t="str">
        <f>IF(COUNTIF(C793:C795,"&gt;0")&lt;3,"N/A",AVERAGE(C793:C795))</f>
        <v>N/A</v>
      </c>
    </row>
    <row r="798" spans="1:6" ht="12.75">
      <c r="A798" s="45">
        <f t="shared" si="30"/>
        <v>42144</v>
      </c>
      <c r="B798" s="46">
        <v>42144</v>
      </c>
      <c r="C798" s="65">
        <f t="shared" si="32"/>
        <v>0</v>
      </c>
      <c r="E798" s="3" t="str">
        <f t="shared" si="31"/>
        <v>2Q2015</v>
      </c>
      <c r="F798" s="49" t="str">
        <f>+F797</f>
        <v>N/A</v>
      </c>
    </row>
    <row r="799" spans="1:6" ht="12.75">
      <c r="A799" s="39">
        <f t="shared" si="30"/>
        <v>42175</v>
      </c>
      <c r="B799" s="40">
        <v>42175</v>
      </c>
      <c r="C799" s="65">
        <f t="shared" si="32"/>
        <v>0</v>
      </c>
      <c r="E799" s="3" t="str">
        <f t="shared" si="31"/>
        <v>2Q2015</v>
      </c>
      <c r="F799" s="49" t="str">
        <f>+F798</f>
        <v>N/A</v>
      </c>
    </row>
    <row r="800" spans="1:6" ht="12.75">
      <c r="A800" s="39">
        <f t="shared" si="30"/>
        <v>42205</v>
      </c>
      <c r="B800" s="40">
        <v>42205</v>
      </c>
      <c r="C800" s="65">
        <f t="shared" si="32"/>
        <v>0</v>
      </c>
      <c r="E800" s="3" t="str">
        <f t="shared" si="31"/>
        <v>3Q2015</v>
      </c>
      <c r="F800" s="49" t="str">
        <f>IF(COUNTIF(C796:C798,"&gt;0")&lt;3,"N/A",AVERAGE(C796:C798))</f>
        <v>N/A</v>
      </c>
    </row>
    <row r="801" spans="1:6" ht="12.75">
      <c r="A801" s="45">
        <f t="shared" si="30"/>
        <v>42236</v>
      </c>
      <c r="B801" s="46">
        <v>42236</v>
      </c>
      <c r="C801" s="65">
        <f t="shared" si="32"/>
        <v>0</v>
      </c>
      <c r="E801" s="3" t="str">
        <f t="shared" si="31"/>
        <v>3Q2015</v>
      </c>
      <c r="F801" s="49" t="str">
        <f>+F800</f>
        <v>N/A</v>
      </c>
    </row>
    <row r="802" spans="1:6" ht="12.75">
      <c r="A802" s="39">
        <f t="shared" si="30"/>
        <v>42267</v>
      </c>
      <c r="B802" s="40">
        <v>42267</v>
      </c>
      <c r="C802" s="65">
        <f t="shared" si="32"/>
        <v>0</v>
      </c>
      <c r="E802" s="3" t="str">
        <f t="shared" si="31"/>
        <v>3Q2015</v>
      </c>
      <c r="F802" s="49" t="str">
        <f>+F801</f>
        <v>N/A</v>
      </c>
    </row>
    <row r="803" spans="1:6" ht="12.75">
      <c r="A803" s="39">
        <f t="shared" si="30"/>
        <v>42297</v>
      </c>
      <c r="B803" s="40">
        <v>42297</v>
      </c>
      <c r="C803" s="65">
        <f t="shared" si="32"/>
        <v>0</v>
      </c>
      <c r="E803" s="3" t="str">
        <f t="shared" si="31"/>
        <v>4Q2015</v>
      </c>
      <c r="F803" s="49" t="str">
        <f>IF(COUNTIF(C799:C801,"&gt;0")&lt;3,"N/A",AVERAGE(C799:C801))</f>
        <v>N/A</v>
      </c>
    </row>
    <row r="804" spans="1:6" ht="12.75">
      <c r="A804" s="45">
        <f t="shared" si="30"/>
        <v>42328</v>
      </c>
      <c r="B804" s="46">
        <v>42328</v>
      </c>
      <c r="C804" s="65">
        <f t="shared" si="32"/>
        <v>0</v>
      </c>
      <c r="E804" s="3" t="str">
        <f t="shared" si="31"/>
        <v>4Q2015</v>
      </c>
      <c r="F804" s="49" t="str">
        <f>+F803</f>
        <v>N/A</v>
      </c>
    </row>
    <row r="805" spans="1:6" ht="12.75">
      <c r="A805" s="39">
        <f t="shared" si="30"/>
        <v>42358</v>
      </c>
      <c r="B805" s="40">
        <v>42358</v>
      </c>
      <c r="C805" s="65">
        <f t="shared" si="32"/>
        <v>0</v>
      </c>
      <c r="E805" s="3" t="str">
        <f t="shared" si="31"/>
        <v>4Q2015</v>
      </c>
      <c r="F805" s="49" t="str">
        <f>+F804</f>
        <v>N/A</v>
      </c>
    </row>
    <row r="806" spans="1:6" ht="12.75">
      <c r="A806" s="39">
        <f t="shared" si="30"/>
        <v>42389</v>
      </c>
      <c r="B806" s="40">
        <v>42389</v>
      </c>
      <c r="C806" s="65">
        <f t="shared" si="32"/>
        <v>0</v>
      </c>
      <c r="E806" s="3" t="str">
        <f t="shared" si="31"/>
        <v>1Q2016</v>
      </c>
      <c r="F806" s="49" t="str">
        <f>IF(COUNTIF(C802:C804,"&gt;0")&lt;3,"N/A",AVERAGE(C802:C804))</f>
        <v>N/A</v>
      </c>
    </row>
    <row r="807" spans="1:6" ht="12.75">
      <c r="A807" s="45">
        <f t="shared" si="30"/>
        <v>42420</v>
      </c>
      <c r="B807" s="46">
        <v>42420</v>
      </c>
      <c r="C807" s="65">
        <f t="shared" si="32"/>
        <v>0</v>
      </c>
      <c r="E807" s="3" t="str">
        <f t="shared" si="31"/>
        <v>1Q2016</v>
      </c>
      <c r="F807" s="49" t="str">
        <f>+F806</f>
        <v>N/A</v>
      </c>
    </row>
    <row r="808" spans="1:6" ht="12.75">
      <c r="A808" s="39">
        <f t="shared" si="30"/>
        <v>42449</v>
      </c>
      <c r="B808" s="40">
        <v>42449</v>
      </c>
      <c r="C808" s="65">
        <f t="shared" si="32"/>
        <v>0</v>
      </c>
      <c r="E808" s="3" t="str">
        <f t="shared" si="31"/>
        <v>1Q2016</v>
      </c>
      <c r="F808" s="49" t="str">
        <f>+F807</f>
        <v>N/A</v>
      </c>
    </row>
    <row r="809" spans="1:6" ht="12.75">
      <c r="A809" s="39">
        <f t="shared" si="30"/>
        <v>42480</v>
      </c>
      <c r="B809" s="40">
        <v>42480</v>
      </c>
      <c r="C809" s="65">
        <f t="shared" si="32"/>
        <v>0</v>
      </c>
      <c r="E809" s="3" t="str">
        <f t="shared" si="31"/>
        <v>2Q2016</v>
      </c>
      <c r="F809" s="49" t="str">
        <f>IF(COUNTIF(C805:C807,"&gt;0")&lt;3,"N/A",AVERAGE(C805:C807))</f>
        <v>N/A</v>
      </c>
    </row>
    <row r="810" spans="1:6" ht="12.75">
      <c r="A810" s="45">
        <f t="shared" si="30"/>
        <v>42510</v>
      </c>
      <c r="B810" s="46">
        <v>42510</v>
      </c>
      <c r="C810" s="65">
        <f t="shared" si="32"/>
        <v>0</v>
      </c>
      <c r="E810" s="3" t="str">
        <f t="shared" si="31"/>
        <v>2Q2016</v>
      </c>
      <c r="F810" s="49" t="str">
        <f>+F809</f>
        <v>N/A</v>
      </c>
    </row>
    <row r="811" spans="1:6" ht="12.75">
      <c r="A811" s="39">
        <f t="shared" si="30"/>
        <v>42541</v>
      </c>
      <c r="B811" s="40">
        <v>42541</v>
      </c>
      <c r="C811" s="65">
        <f t="shared" si="32"/>
        <v>0</v>
      </c>
      <c r="E811" s="3" t="str">
        <f t="shared" si="31"/>
        <v>2Q2016</v>
      </c>
      <c r="F811" s="49" t="str">
        <f>+F810</f>
        <v>N/A</v>
      </c>
    </row>
    <row r="812" spans="1:6" ht="12.75">
      <c r="A812" s="39">
        <f t="shared" si="30"/>
        <v>42571</v>
      </c>
      <c r="B812" s="40">
        <v>42571</v>
      </c>
      <c r="C812" s="65">
        <f t="shared" si="32"/>
        <v>0</v>
      </c>
      <c r="E812" s="3" t="str">
        <f t="shared" si="31"/>
        <v>3Q2016</v>
      </c>
      <c r="F812" s="49" t="str">
        <f>IF(COUNTIF(C808:C810,"&gt;0")&lt;3,"N/A",AVERAGE(C808:C810))</f>
        <v>N/A</v>
      </c>
    </row>
    <row r="813" spans="1:6" ht="12.75">
      <c r="A813" s="45">
        <f t="shared" si="30"/>
        <v>42602</v>
      </c>
      <c r="B813" s="46">
        <v>42602</v>
      </c>
      <c r="C813" s="65">
        <f t="shared" si="32"/>
        <v>0</v>
      </c>
      <c r="E813" s="3" t="str">
        <f t="shared" si="31"/>
        <v>3Q2016</v>
      </c>
      <c r="F813" s="49" t="str">
        <f>+F812</f>
        <v>N/A</v>
      </c>
    </row>
    <row r="814" spans="1:6" ht="12.75">
      <c r="A814" s="39">
        <f t="shared" si="30"/>
        <v>42633</v>
      </c>
      <c r="B814" s="40">
        <v>42633</v>
      </c>
      <c r="C814" s="65">
        <f t="shared" si="32"/>
        <v>0</v>
      </c>
      <c r="E814" s="3" t="str">
        <f t="shared" si="31"/>
        <v>3Q2016</v>
      </c>
      <c r="F814" s="49" t="str">
        <f>+F813</f>
        <v>N/A</v>
      </c>
    </row>
    <row r="815" spans="1:6" ht="12.75">
      <c r="A815" s="39">
        <f t="shared" si="30"/>
        <v>42663</v>
      </c>
      <c r="B815" s="40">
        <v>42663</v>
      </c>
      <c r="C815" s="65">
        <f t="shared" si="32"/>
        <v>0</v>
      </c>
      <c r="E815" s="3" t="str">
        <f t="shared" si="31"/>
        <v>4Q2016</v>
      </c>
      <c r="F815" s="49" t="str">
        <f>IF(COUNTIF(C811:C813,"&gt;0")&lt;3,"N/A",AVERAGE(C811:C813))</f>
        <v>N/A</v>
      </c>
    </row>
    <row r="816" spans="1:6" ht="12.75">
      <c r="A816" s="45">
        <f t="shared" si="30"/>
        <v>42694</v>
      </c>
      <c r="B816" s="46">
        <v>42694</v>
      </c>
      <c r="C816" s="65">
        <f t="shared" si="32"/>
        <v>0</v>
      </c>
      <c r="E816" s="3" t="str">
        <f t="shared" si="31"/>
        <v>4Q2016</v>
      </c>
      <c r="F816" s="49" t="str">
        <f>+F815</f>
        <v>N/A</v>
      </c>
    </row>
    <row r="817" spans="1:6" ht="12.75">
      <c r="A817" s="39">
        <f t="shared" si="30"/>
        <v>42724</v>
      </c>
      <c r="B817" s="40">
        <v>42724</v>
      </c>
      <c r="C817" s="65">
        <f t="shared" si="32"/>
        <v>0</v>
      </c>
      <c r="E817" s="3" t="str">
        <f t="shared" si="31"/>
        <v>4Q2016</v>
      </c>
      <c r="F817" s="49" t="str">
        <f>+F816</f>
        <v>N/A</v>
      </c>
    </row>
    <row r="818" spans="1:6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 t="str">
        <f>+F818</f>
        <v>N/A</v>
      </c>
    </row>
    <row r="820" spans="1:6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 t="str">
        <f>+F819</f>
        <v>N/A</v>
      </c>
    </row>
    <row r="821" spans="1:6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</row>
    <row r="823" spans="1:6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3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3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3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3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3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3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3"/>
        <v>43516</v>
      </c>
      <c r="B843" s="46">
        <v>43516</v>
      </c>
      <c r="C843" s="65">
        <f t="shared" si="32"/>
        <v>0</v>
      </c>
      <c r="E843" s="3" t="str">
        <f aca="true" t="shared" si="34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3"/>
        <v>43544</v>
      </c>
      <c r="B844" s="40">
        <v>43544</v>
      </c>
      <c r="C844" s="65">
        <f t="shared" si="32"/>
        <v>0</v>
      </c>
      <c r="E844" s="3" t="str">
        <f t="shared" si="34"/>
        <v>1Q2019</v>
      </c>
      <c r="F844" s="49" t="str">
        <f>+F843</f>
        <v>N/A</v>
      </c>
    </row>
    <row r="845" spans="1:6" ht="12.75">
      <c r="A845" s="39">
        <f t="shared" si="33"/>
        <v>43575</v>
      </c>
      <c r="B845" s="40">
        <v>43575</v>
      </c>
      <c r="C845" s="65">
        <f t="shared" si="32"/>
        <v>0</v>
      </c>
      <c r="E845" s="3" t="str">
        <f t="shared" si="34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3"/>
        <v>43605</v>
      </c>
      <c r="B846" s="46">
        <v>43605</v>
      </c>
      <c r="C846" s="65">
        <f t="shared" si="32"/>
        <v>0</v>
      </c>
      <c r="E846" s="3" t="str">
        <f t="shared" si="34"/>
        <v>2Q2019</v>
      </c>
      <c r="F846" s="49" t="str">
        <f>+F845</f>
        <v>N/A</v>
      </c>
    </row>
    <row r="847" spans="1:6" ht="12.75">
      <c r="A847" s="39">
        <f t="shared" si="33"/>
        <v>43636</v>
      </c>
      <c r="B847" s="40">
        <v>43636</v>
      </c>
      <c r="C847" s="65">
        <f t="shared" si="32"/>
        <v>0</v>
      </c>
      <c r="E847" s="3" t="str">
        <f t="shared" si="34"/>
        <v>2Q2019</v>
      </c>
      <c r="F847" s="49" t="str">
        <f>+F846</f>
        <v>N/A</v>
      </c>
    </row>
    <row r="848" spans="1:6" ht="12.75">
      <c r="A848" s="39">
        <f t="shared" si="33"/>
        <v>43666</v>
      </c>
      <c r="B848" s="40">
        <v>43666</v>
      </c>
      <c r="C848" s="65">
        <f aca="true" t="shared" si="35" ref="C848:C911">+L848%</f>
        <v>0</v>
      </c>
      <c r="E848" s="3" t="str">
        <f t="shared" si="34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3"/>
        <v>43697</v>
      </c>
      <c r="B849" s="46">
        <v>43697</v>
      </c>
      <c r="C849" s="65">
        <f t="shared" si="35"/>
        <v>0</v>
      </c>
      <c r="E849" s="3" t="str">
        <f t="shared" si="34"/>
        <v>3Q2019</v>
      </c>
      <c r="F849" s="49" t="str">
        <f>+F848</f>
        <v>N/A</v>
      </c>
    </row>
    <row r="850" spans="1:6" ht="12.75">
      <c r="A850" s="39">
        <f t="shared" si="33"/>
        <v>43728</v>
      </c>
      <c r="B850" s="40">
        <v>43728</v>
      </c>
      <c r="C850" s="65">
        <f t="shared" si="35"/>
        <v>0</v>
      </c>
      <c r="E850" s="3" t="str">
        <f t="shared" si="34"/>
        <v>3Q2019</v>
      </c>
      <c r="F850" s="49" t="str">
        <f>+F849</f>
        <v>N/A</v>
      </c>
    </row>
    <row r="851" spans="1:6" ht="12.75">
      <c r="A851" s="39">
        <f t="shared" si="33"/>
        <v>43758</v>
      </c>
      <c r="B851" s="40">
        <v>43758</v>
      </c>
      <c r="C851" s="65">
        <f t="shared" si="35"/>
        <v>0</v>
      </c>
      <c r="E851" s="3" t="str">
        <f t="shared" si="34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3"/>
        <v>43789</v>
      </c>
      <c r="B852" s="46">
        <v>43789</v>
      </c>
      <c r="C852" s="65">
        <f t="shared" si="35"/>
        <v>0</v>
      </c>
      <c r="E852" s="3" t="str">
        <f t="shared" si="34"/>
        <v>4Q2019</v>
      </c>
      <c r="F852" s="49" t="str">
        <f>+F851</f>
        <v>N/A</v>
      </c>
    </row>
    <row r="853" spans="1:6" ht="12.75">
      <c r="A853" s="39">
        <f t="shared" si="33"/>
        <v>43819</v>
      </c>
      <c r="B853" s="40">
        <v>43819</v>
      </c>
      <c r="C853" s="65">
        <f t="shared" si="35"/>
        <v>0</v>
      </c>
      <c r="E853" s="3" t="str">
        <f t="shared" si="34"/>
        <v>4Q2019</v>
      </c>
      <c r="F853" s="49" t="str">
        <f>+F852</f>
        <v>N/A</v>
      </c>
    </row>
    <row r="854" spans="1:6" ht="12.75">
      <c r="A854" s="39">
        <f t="shared" si="33"/>
        <v>43850</v>
      </c>
      <c r="B854" s="40">
        <v>43850</v>
      </c>
      <c r="C854" s="65">
        <f t="shared" si="35"/>
        <v>0</v>
      </c>
      <c r="E854" s="3" t="str">
        <f t="shared" si="34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3"/>
        <v>43881</v>
      </c>
      <c r="B855" s="46">
        <v>43881</v>
      </c>
      <c r="C855" s="65">
        <f t="shared" si="35"/>
        <v>0</v>
      </c>
      <c r="E855" s="3" t="str">
        <f t="shared" si="34"/>
        <v>1Q2020</v>
      </c>
      <c r="F855" s="49" t="str">
        <f>+F854</f>
        <v>N/A</v>
      </c>
    </row>
    <row r="856" spans="1:6" ht="12.75">
      <c r="A856" s="39">
        <f t="shared" si="33"/>
        <v>43910</v>
      </c>
      <c r="B856" s="40">
        <v>43910</v>
      </c>
      <c r="C856" s="65">
        <f t="shared" si="35"/>
        <v>0</v>
      </c>
      <c r="E856" s="3" t="str">
        <f t="shared" si="34"/>
        <v>1Q2020</v>
      </c>
      <c r="F856" s="49" t="str">
        <f>+F855</f>
        <v>N/A</v>
      </c>
    </row>
    <row r="857" spans="1:6" ht="12.75">
      <c r="A857" s="39">
        <f t="shared" si="33"/>
        <v>43941</v>
      </c>
      <c r="B857" s="40">
        <v>43941</v>
      </c>
      <c r="C857" s="65">
        <f t="shared" si="35"/>
        <v>0</v>
      </c>
      <c r="E857" s="3" t="str">
        <f t="shared" si="34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3"/>
        <v>43971</v>
      </c>
      <c r="B858" s="46">
        <v>43971</v>
      </c>
      <c r="C858" s="65">
        <f t="shared" si="35"/>
        <v>0</v>
      </c>
      <c r="E858" s="3" t="str">
        <f t="shared" si="34"/>
        <v>2Q2020</v>
      </c>
      <c r="F858" s="49" t="str">
        <f>+F857</f>
        <v>N/A</v>
      </c>
    </row>
    <row r="859" spans="1:6" ht="12.75">
      <c r="A859" s="39">
        <f t="shared" si="33"/>
        <v>44002</v>
      </c>
      <c r="B859" s="40">
        <v>44002</v>
      </c>
      <c r="C859" s="65">
        <f t="shared" si="35"/>
        <v>0</v>
      </c>
      <c r="E859" s="3" t="str">
        <f t="shared" si="34"/>
        <v>2Q2020</v>
      </c>
      <c r="F859" s="49" t="str">
        <f>+F858</f>
        <v>N/A</v>
      </c>
    </row>
    <row r="860" spans="1:6" ht="12.75">
      <c r="A860" s="39">
        <f t="shared" si="33"/>
        <v>44032</v>
      </c>
      <c r="B860" s="40">
        <v>44032</v>
      </c>
      <c r="C860" s="65">
        <f t="shared" si="35"/>
        <v>0</v>
      </c>
      <c r="E860" s="3" t="str">
        <f t="shared" si="34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3"/>
        <v>44063</v>
      </c>
      <c r="B861" s="46">
        <v>44063</v>
      </c>
      <c r="C861" s="65">
        <f t="shared" si="35"/>
        <v>0</v>
      </c>
      <c r="E861" s="3" t="str">
        <f t="shared" si="34"/>
        <v>3Q2020</v>
      </c>
      <c r="F861" s="49" t="str">
        <f>+F860</f>
        <v>N/A</v>
      </c>
    </row>
    <row r="862" spans="1:6" ht="12.75">
      <c r="A862" s="39">
        <f t="shared" si="33"/>
        <v>44094</v>
      </c>
      <c r="B862" s="40">
        <v>44094</v>
      </c>
      <c r="C862" s="65">
        <f t="shared" si="35"/>
        <v>0</v>
      </c>
      <c r="E862" s="3" t="str">
        <f t="shared" si="34"/>
        <v>3Q2020</v>
      </c>
      <c r="F862" s="49" t="str">
        <f>+F861</f>
        <v>N/A</v>
      </c>
    </row>
    <row r="863" spans="1:6" ht="12.75">
      <c r="A863" s="39">
        <f t="shared" si="33"/>
        <v>44124</v>
      </c>
      <c r="B863" s="40">
        <v>44124</v>
      </c>
      <c r="C863" s="65">
        <f t="shared" si="35"/>
        <v>0</v>
      </c>
      <c r="E863" s="3" t="str">
        <f t="shared" si="34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3"/>
        <v>44155</v>
      </c>
      <c r="B864" s="46">
        <v>44155</v>
      </c>
      <c r="C864" s="65">
        <f t="shared" si="35"/>
        <v>0</v>
      </c>
      <c r="E864" s="3" t="str">
        <f t="shared" si="34"/>
        <v>4Q2020</v>
      </c>
      <c r="F864" s="49" t="str">
        <f>+F863</f>
        <v>N/A</v>
      </c>
    </row>
    <row r="865" spans="1:6" ht="12.75">
      <c r="A865" s="39">
        <f t="shared" si="33"/>
        <v>44185</v>
      </c>
      <c r="B865" s="40">
        <v>44185</v>
      </c>
      <c r="C865" s="65">
        <f t="shared" si="35"/>
        <v>0</v>
      </c>
      <c r="E865" s="3" t="str">
        <f t="shared" si="34"/>
        <v>4Q2020</v>
      </c>
      <c r="F865" s="49" t="str">
        <f>+F864</f>
        <v>N/A</v>
      </c>
    </row>
    <row r="866" spans="1:6" ht="12.75">
      <c r="A866" s="39">
        <f t="shared" si="33"/>
        <v>44216</v>
      </c>
      <c r="B866" s="40">
        <v>44216</v>
      </c>
      <c r="C866" s="65">
        <f t="shared" si="35"/>
        <v>0</v>
      </c>
      <c r="E866" s="3" t="str">
        <f t="shared" si="34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3"/>
        <v>44247</v>
      </c>
      <c r="B867" s="46">
        <v>44247</v>
      </c>
      <c r="C867" s="65">
        <f t="shared" si="35"/>
        <v>0</v>
      </c>
      <c r="E867" s="3" t="str">
        <f t="shared" si="34"/>
        <v>1Q2021</v>
      </c>
      <c r="F867" s="49" t="str">
        <f>+F866</f>
        <v>N/A</v>
      </c>
    </row>
    <row r="868" spans="1:6" ht="12.75">
      <c r="A868" s="39">
        <f t="shared" si="33"/>
        <v>44275</v>
      </c>
      <c r="B868" s="40">
        <v>44275</v>
      </c>
      <c r="C868" s="65">
        <f t="shared" si="35"/>
        <v>0</v>
      </c>
      <c r="E868" s="3" t="str">
        <f t="shared" si="34"/>
        <v>1Q2021</v>
      </c>
      <c r="F868" s="49" t="str">
        <f>+F867</f>
        <v>N/A</v>
      </c>
    </row>
    <row r="869" spans="1:6" ht="12.75">
      <c r="A869" s="39">
        <f t="shared" si="33"/>
        <v>44306</v>
      </c>
      <c r="B869" s="40">
        <v>44306</v>
      </c>
      <c r="C869" s="65">
        <f t="shared" si="35"/>
        <v>0</v>
      </c>
      <c r="E869" s="3" t="str">
        <f t="shared" si="34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3"/>
        <v>44336</v>
      </c>
      <c r="B870" s="46">
        <v>44336</v>
      </c>
      <c r="C870" s="65">
        <f t="shared" si="35"/>
        <v>0</v>
      </c>
      <c r="E870" s="3" t="str">
        <f t="shared" si="34"/>
        <v>2Q2021</v>
      </c>
      <c r="F870" s="49" t="str">
        <f>+F869</f>
        <v>N/A</v>
      </c>
    </row>
    <row r="871" spans="1:6" ht="12.75">
      <c r="A871" s="39">
        <f t="shared" si="33"/>
        <v>44367</v>
      </c>
      <c r="B871" s="40">
        <v>44367</v>
      </c>
      <c r="C871" s="65">
        <f t="shared" si="35"/>
        <v>0</v>
      </c>
      <c r="E871" s="3" t="str">
        <f t="shared" si="34"/>
        <v>2Q2021</v>
      </c>
      <c r="F871" s="49" t="str">
        <f>+F870</f>
        <v>N/A</v>
      </c>
    </row>
    <row r="872" spans="1:6" ht="12.75">
      <c r="A872" s="39">
        <f t="shared" si="33"/>
        <v>44397</v>
      </c>
      <c r="B872" s="40">
        <v>44397</v>
      </c>
      <c r="C872" s="65">
        <f t="shared" si="35"/>
        <v>0</v>
      </c>
      <c r="E872" s="3" t="str">
        <f t="shared" si="34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3"/>
        <v>44428</v>
      </c>
      <c r="B873" s="46">
        <v>44428</v>
      </c>
      <c r="C873" s="65">
        <f t="shared" si="35"/>
        <v>0</v>
      </c>
      <c r="E873" s="3" t="str">
        <f t="shared" si="34"/>
        <v>3Q2021</v>
      </c>
      <c r="F873" s="49" t="str">
        <f>+F872</f>
        <v>N/A</v>
      </c>
    </row>
    <row r="874" spans="1:6" ht="12.75">
      <c r="A874" s="39">
        <f t="shared" si="33"/>
        <v>44459</v>
      </c>
      <c r="B874" s="40">
        <v>44459</v>
      </c>
      <c r="C874" s="65">
        <f t="shared" si="35"/>
        <v>0</v>
      </c>
      <c r="E874" s="3" t="str">
        <f t="shared" si="34"/>
        <v>3Q2021</v>
      </c>
      <c r="F874" s="49" t="str">
        <f>+F873</f>
        <v>N/A</v>
      </c>
    </row>
    <row r="875" spans="1:6" ht="12.75">
      <c r="A875" s="39">
        <f t="shared" si="33"/>
        <v>44489</v>
      </c>
      <c r="B875" s="40">
        <v>44489</v>
      </c>
      <c r="C875" s="65">
        <f t="shared" si="35"/>
        <v>0</v>
      </c>
      <c r="E875" s="3" t="str">
        <f t="shared" si="34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3"/>
        <v>44520</v>
      </c>
      <c r="B876" s="46">
        <v>44520</v>
      </c>
      <c r="C876" s="65">
        <f t="shared" si="35"/>
        <v>0</v>
      </c>
      <c r="E876" s="3" t="str">
        <f t="shared" si="34"/>
        <v>4Q2021</v>
      </c>
      <c r="F876" s="49" t="str">
        <f>+F875</f>
        <v>N/A</v>
      </c>
    </row>
    <row r="877" spans="1:6" ht="12.75">
      <c r="A877" s="39">
        <f t="shared" si="33"/>
        <v>44550</v>
      </c>
      <c r="B877" s="40">
        <v>44550</v>
      </c>
      <c r="C877" s="65">
        <f t="shared" si="35"/>
        <v>0</v>
      </c>
      <c r="E877" s="3" t="str">
        <f t="shared" si="34"/>
        <v>4Q2021</v>
      </c>
      <c r="F877" s="49" t="str">
        <f>+F876</f>
        <v>N/A</v>
      </c>
    </row>
    <row r="878" spans="1:6" ht="12.75">
      <c r="A878" s="39">
        <f t="shared" si="33"/>
        <v>44581</v>
      </c>
      <c r="B878" s="40">
        <v>44581</v>
      </c>
      <c r="C878" s="65">
        <f t="shared" si="35"/>
        <v>0</v>
      </c>
      <c r="E878" s="3" t="str">
        <f t="shared" si="34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3"/>
        <v>44612</v>
      </c>
      <c r="B879" s="46">
        <v>44612</v>
      </c>
      <c r="C879" s="65">
        <f t="shared" si="35"/>
        <v>0</v>
      </c>
      <c r="E879" s="3" t="str">
        <f t="shared" si="34"/>
        <v>1Q2022</v>
      </c>
      <c r="F879" s="49" t="str">
        <f>+F878</f>
        <v>N/A</v>
      </c>
    </row>
    <row r="880" spans="1:6" ht="12.75">
      <c r="A880" s="39">
        <f t="shared" si="33"/>
        <v>44640</v>
      </c>
      <c r="B880" s="40">
        <v>44640</v>
      </c>
      <c r="C880" s="65">
        <f t="shared" si="35"/>
        <v>0</v>
      </c>
      <c r="E880" s="3" t="str">
        <f t="shared" si="34"/>
        <v>1Q2022</v>
      </c>
      <c r="F880" s="49" t="str">
        <f>+F879</f>
        <v>N/A</v>
      </c>
    </row>
    <row r="881" spans="1:6" ht="12.75">
      <c r="A881" s="39">
        <f t="shared" si="33"/>
        <v>44671</v>
      </c>
      <c r="B881" s="40">
        <v>44671</v>
      </c>
      <c r="C881" s="65">
        <f t="shared" si="35"/>
        <v>0</v>
      </c>
      <c r="E881" s="3" t="str">
        <f t="shared" si="34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3"/>
        <v>44701</v>
      </c>
      <c r="B882" s="46">
        <v>44701</v>
      </c>
      <c r="C882" s="65">
        <f t="shared" si="35"/>
        <v>0</v>
      </c>
      <c r="E882" s="3" t="str">
        <f t="shared" si="34"/>
        <v>2Q2022</v>
      </c>
      <c r="F882" s="49" t="str">
        <f>+F881</f>
        <v>N/A</v>
      </c>
    </row>
    <row r="883" spans="1:6" ht="12.75">
      <c r="A883" s="39">
        <f t="shared" si="33"/>
        <v>44732</v>
      </c>
      <c r="B883" s="40">
        <v>44732</v>
      </c>
      <c r="C883" s="65">
        <f t="shared" si="35"/>
        <v>0</v>
      </c>
      <c r="E883" s="3" t="str">
        <f t="shared" si="34"/>
        <v>2Q2022</v>
      </c>
      <c r="F883" s="49" t="str">
        <f>+F882</f>
        <v>N/A</v>
      </c>
    </row>
    <row r="884" spans="1:6" ht="12.75">
      <c r="A884" s="39">
        <f t="shared" si="33"/>
        <v>44762</v>
      </c>
      <c r="B884" s="40">
        <v>44762</v>
      </c>
      <c r="C884" s="65">
        <f t="shared" si="35"/>
        <v>0</v>
      </c>
      <c r="E884" s="3" t="str">
        <f t="shared" si="34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3"/>
        <v>44793</v>
      </c>
      <c r="B885" s="46">
        <v>44793</v>
      </c>
      <c r="C885" s="65">
        <f t="shared" si="35"/>
        <v>0</v>
      </c>
      <c r="E885" s="3" t="str">
        <f t="shared" si="34"/>
        <v>3Q2022</v>
      </c>
      <c r="F885" s="49" t="str">
        <f>+F884</f>
        <v>N/A</v>
      </c>
    </row>
    <row r="886" spans="1:6" ht="12.75">
      <c r="A886" s="39">
        <f t="shared" si="33"/>
        <v>44824</v>
      </c>
      <c r="B886" s="40">
        <v>44824</v>
      </c>
      <c r="C886" s="65">
        <f t="shared" si="35"/>
        <v>0</v>
      </c>
      <c r="E886" s="3" t="str">
        <f t="shared" si="34"/>
        <v>3Q2022</v>
      </c>
      <c r="F886" s="49" t="str">
        <f>+F885</f>
        <v>N/A</v>
      </c>
    </row>
    <row r="887" spans="1:6" ht="12.75">
      <c r="A887" s="39">
        <f t="shared" si="33"/>
        <v>44854</v>
      </c>
      <c r="B887" s="40">
        <v>44854</v>
      </c>
      <c r="C887" s="65">
        <f t="shared" si="35"/>
        <v>0</v>
      </c>
      <c r="E887" s="3" t="str">
        <f t="shared" si="34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3"/>
        <v>44885</v>
      </c>
      <c r="B888" s="46">
        <v>44885</v>
      </c>
      <c r="C888" s="65">
        <f t="shared" si="35"/>
        <v>0</v>
      </c>
      <c r="E888" s="3" t="str">
        <f t="shared" si="34"/>
        <v>4Q2022</v>
      </c>
      <c r="F888" s="49" t="str">
        <f>+F887</f>
        <v>N/A</v>
      </c>
    </row>
    <row r="889" spans="1:6" ht="12.75">
      <c r="A889" s="39">
        <f t="shared" si="33"/>
        <v>44915</v>
      </c>
      <c r="B889" s="40">
        <v>44915</v>
      </c>
      <c r="C889" s="65">
        <f t="shared" si="35"/>
        <v>0</v>
      </c>
      <c r="E889" s="3" t="str">
        <f t="shared" si="34"/>
        <v>4Q2022</v>
      </c>
      <c r="F889" s="49" t="str">
        <f>+F888</f>
        <v>N/A</v>
      </c>
    </row>
    <row r="890" spans="1:6" ht="12.75">
      <c r="A890" s="39">
        <f t="shared" si="33"/>
        <v>44946</v>
      </c>
      <c r="B890" s="40">
        <v>44946</v>
      </c>
      <c r="C890" s="65">
        <f t="shared" si="35"/>
        <v>0</v>
      </c>
      <c r="E890" s="3" t="str">
        <f t="shared" si="34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3"/>
        <v>44977</v>
      </c>
      <c r="B891" s="46">
        <v>44977</v>
      </c>
      <c r="C891" s="65">
        <f t="shared" si="35"/>
        <v>0</v>
      </c>
      <c r="E891" s="3" t="str">
        <f t="shared" si="34"/>
        <v>1Q2023</v>
      </c>
      <c r="F891" s="49" t="str">
        <f>+F890</f>
        <v>N/A</v>
      </c>
    </row>
    <row r="892" spans="1:6" ht="12.75">
      <c r="A892" s="39">
        <f t="shared" si="33"/>
        <v>45005</v>
      </c>
      <c r="B892" s="40">
        <v>45005</v>
      </c>
      <c r="C892" s="65">
        <f t="shared" si="35"/>
        <v>0</v>
      </c>
      <c r="E892" s="3" t="str">
        <f t="shared" si="34"/>
        <v>1Q2023</v>
      </c>
      <c r="F892" s="49" t="str">
        <f>+F891</f>
        <v>N/A</v>
      </c>
    </row>
    <row r="893" spans="1:6" ht="12.75">
      <c r="A893" s="39">
        <f t="shared" si="33"/>
        <v>45036</v>
      </c>
      <c r="B893" s="40">
        <v>45036</v>
      </c>
      <c r="C893" s="65">
        <f t="shared" si="35"/>
        <v>0</v>
      </c>
      <c r="E893" s="3" t="str">
        <f t="shared" si="34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3"/>
        <v>45066</v>
      </c>
      <c r="B894" s="46">
        <v>45066</v>
      </c>
      <c r="C894" s="65">
        <f t="shared" si="35"/>
        <v>0</v>
      </c>
      <c r="E894" s="3" t="str">
        <f t="shared" si="34"/>
        <v>2Q2023</v>
      </c>
      <c r="F894" s="49" t="str">
        <f>+F893</f>
        <v>N/A</v>
      </c>
    </row>
    <row r="895" spans="1:6" ht="12.75">
      <c r="A895" s="39">
        <f t="shared" si="33"/>
        <v>45097</v>
      </c>
      <c r="B895" s="40">
        <v>45097</v>
      </c>
      <c r="C895" s="65">
        <f t="shared" si="35"/>
        <v>0</v>
      </c>
      <c r="E895" s="3" t="str">
        <f t="shared" si="34"/>
        <v>2Q2023</v>
      </c>
      <c r="F895" s="49" t="str">
        <f>+F894</f>
        <v>N/A</v>
      </c>
    </row>
    <row r="896" spans="1:6" ht="12.75">
      <c r="A896" s="39">
        <f t="shared" si="33"/>
        <v>45127</v>
      </c>
      <c r="B896" s="40">
        <v>45127</v>
      </c>
      <c r="C896" s="65">
        <f t="shared" si="35"/>
        <v>0</v>
      </c>
      <c r="E896" s="3" t="str">
        <f t="shared" si="34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3"/>
        <v>45158</v>
      </c>
      <c r="B897" s="46">
        <v>45158</v>
      </c>
      <c r="C897" s="65">
        <f t="shared" si="35"/>
        <v>0</v>
      </c>
      <c r="E897" s="3" t="str">
        <f t="shared" si="34"/>
        <v>3Q2023</v>
      </c>
      <c r="F897" s="49" t="str">
        <f>+F896</f>
        <v>N/A</v>
      </c>
    </row>
    <row r="898" spans="1:6" ht="12.75">
      <c r="A898" s="39">
        <f t="shared" si="33"/>
        <v>45189</v>
      </c>
      <c r="B898" s="40">
        <v>45189</v>
      </c>
      <c r="C898" s="65">
        <f t="shared" si="35"/>
        <v>0</v>
      </c>
      <c r="E898" s="3" t="str">
        <f t="shared" si="34"/>
        <v>3Q2023</v>
      </c>
      <c r="F898" s="49" t="str">
        <f>+F897</f>
        <v>N/A</v>
      </c>
    </row>
    <row r="899" spans="1:6" ht="12.75">
      <c r="A899" s="39">
        <f t="shared" si="33"/>
        <v>45219</v>
      </c>
      <c r="B899" s="40">
        <v>45219</v>
      </c>
      <c r="C899" s="65">
        <f t="shared" si="35"/>
        <v>0</v>
      </c>
      <c r="E899" s="3" t="str">
        <f t="shared" si="34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3"/>
        <v>45250</v>
      </c>
      <c r="B900" s="46">
        <v>45250</v>
      </c>
      <c r="C900" s="65">
        <f t="shared" si="35"/>
        <v>0</v>
      </c>
      <c r="E900" s="3" t="str">
        <f t="shared" si="34"/>
        <v>4Q2023</v>
      </c>
      <c r="F900" s="49" t="str">
        <f>+F899</f>
        <v>N/A</v>
      </c>
    </row>
    <row r="901" spans="1:6" ht="12.75">
      <c r="A901" s="39">
        <f aca="true" t="shared" si="36" ref="A901:A964">+B901</f>
        <v>45280</v>
      </c>
      <c r="B901" s="40">
        <v>45280</v>
      </c>
      <c r="C901" s="65">
        <f t="shared" si="35"/>
        <v>0</v>
      </c>
      <c r="E901" s="3" t="str">
        <f t="shared" si="34"/>
        <v>4Q2023</v>
      </c>
      <c r="F901" s="49" t="str">
        <f>+F900</f>
        <v>N/A</v>
      </c>
    </row>
    <row r="902" spans="1:6" ht="12.75">
      <c r="A902" s="39">
        <f t="shared" si="36"/>
        <v>45311</v>
      </c>
      <c r="B902" s="40">
        <v>45311</v>
      </c>
      <c r="C902" s="65">
        <f t="shared" si="35"/>
        <v>0</v>
      </c>
      <c r="E902" s="3" t="str">
        <f t="shared" si="34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6"/>
        <v>45342</v>
      </c>
      <c r="B903" s="46">
        <v>45342</v>
      </c>
      <c r="C903" s="65">
        <f t="shared" si="35"/>
        <v>0</v>
      </c>
      <c r="E903" s="3" t="str">
        <f t="shared" si="34"/>
        <v>1Q2024</v>
      </c>
      <c r="F903" s="49" t="str">
        <f>+F902</f>
        <v>N/A</v>
      </c>
    </row>
    <row r="904" spans="1:6" ht="12.75">
      <c r="A904" s="39">
        <f t="shared" si="36"/>
        <v>45371</v>
      </c>
      <c r="B904" s="40">
        <v>45371</v>
      </c>
      <c r="C904" s="65">
        <f t="shared" si="35"/>
        <v>0</v>
      </c>
      <c r="E904" s="3" t="str">
        <f t="shared" si="34"/>
        <v>1Q2024</v>
      </c>
      <c r="F904" s="49" t="str">
        <f>+F903</f>
        <v>N/A</v>
      </c>
    </row>
    <row r="905" spans="1:6" ht="12.75">
      <c r="A905" s="39">
        <f t="shared" si="36"/>
        <v>45402</v>
      </c>
      <c r="B905" s="40">
        <v>45402</v>
      </c>
      <c r="C905" s="65">
        <f t="shared" si="35"/>
        <v>0</v>
      </c>
      <c r="E905" s="3" t="str">
        <f t="shared" si="34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6"/>
        <v>45432</v>
      </c>
      <c r="B906" s="46">
        <v>45432</v>
      </c>
      <c r="C906" s="65">
        <f t="shared" si="35"/>
        <v>0</v>
      </c>
      <c r="E906" s="3" t="str">
        <f t="shared" si="34"/>
        <v>2Q2024</v>
      </c>
      <c r="F906" s="49" t="str">
        <f>+F905</f>
        <v>N/A</v>
      </c>
    </row>
    <row r="907" spans="1:6" ht="12.75">
      <c r="A907" s="39">
        <f t="shared" si="36"/>
        <v>45463</v>
      </c>
      <c r="B907" s="40">
        <v>45463</v>
      </c>
      <c r="C907" s="65">
        <f t="shared" si="35"/>
        <v>0</v>
      </c>
      <c r="E907" s="3" t="str">
        <f aca="true" t="shared" si="37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6"/>
        <v>45493</v>
      </c>
      <c r="B908" s="40">
        <v>45493</v>
      </c>
      <c r="C908" s="65">
        <f t="shared" si="35"/>
        <v>0</v>
      </c>
      <c r="E908" s="3" t="str">
        <f t="shared" si="37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6"/>
        <v>45524</v>
      </c>
      <c r="B909" s="46">
        <v>45524</v>
      </c>
      <c r="C909" s="65">
        <f t="shared" si="35"/>
        <v>0</v>
      </c>
      <c r="E909" s="3" t="str">
        <f t="shared" si="37"/>
        <v>3Q2024</v>
      </c>
      <c r="F909" s="49" t="str">
        <f>+F908</f>
        <v>N/A</v>
      </c>
    </row>
    <row r="910" spans="1:6" ht="12.75">
      <c r="A910" s="39">
        <f t="shared" si="36"/>
        <v>45555</v>
      </c>
      <c r="B910" s="40">
        <v>45555</v>
      </c>
      <c r="C910" s="65">
        <f t="shared" si="35"/>
        <v>0</v>
      </c>
      <c r="E910" s="3" t="str">
        <f t="shared" si="37"/>
        <v>3Q2024</v>
      </c>
      <c r="F910" s="49" t="str">
        <f>+F909</f>
        <v>N/A</v>
      </c>
    </row>
    <row r="911" spans="1:6" ht="12.75">
      <c r="A911" s="39">
        <f t="shared" si="36"/>
        <v>45585</v>
      </c>
      <c r="B911" s="40">
        <v>45585</v>
      </c>
      <c r="C911" s="65">
        <f t="shared" si="35"/>
        <v>0</v>
      </c>
      <c r="E911" s="3" t="str">
        <f t="shared" si="37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6"/>
        <v>45616</v>
      </c>
      <c r="B912" s="46">
        <v>45616</v>
      </c>
      <c r="C912" s="65">
        <f aca="true" t="shared" si="38" ref="C912:C975">+L912%</f>
        <v>0</v>
      </c>
      <c r="E912" s="3" t="str">
        <f t="shared" si="37"/>
        <v>4Q2024</v>
      </c>
      <c r="F912" s="49" t="str">
        <f>+F911</f>
        <v>N/A</v>
      </c>
    </row>
    <row r="913" spans="1:6" ht="12.75">
      <c r="A913" s="39">
        <f t="shared" si="36"/>
        <v>45646</v>
      </c>
      <c r="B913" s="40">
        <v>45646</v>
      </c>
      <c r="C913" s="65">
        <f t="shared" si="38"/>
        <v>0</v>
      </c>
      <c r="E913" s="3" t="str">
        <f t="shared" si="37"/>
        <v>4Q2024</v>
      </c>
      <c r="F913" s="49" t="str">
        <f>+F912</f>
        <v>N/A</v>
      </c>
    </row>
    <row r="914" spans="1:6" ht="12.75">
      <c r="A914" s="39">
        <f t="shared" si="36"/>
        <v>45677</v>
      </c>
      <c r="B914" s="40">
        <v>45677</v>
      </c>
      <c r="C914" s="65">
        <f t="shared" si="38"/>
        <v>0</v>
      </c>
      <c r="E914" s="3" t="str">
        <f t="shared" si="37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6"/>
        <v>45708</v>
      </c>
      <c r="B915" s="46">
        <v>45708</v>
      </c>
      <c r="C915" s="65">
        <f t="shared" si="38"/>
        <v>0</v>
      </c>
      <c r="E915" s="3" t="str">
        <f t="shared" si="37"/>
        <v>1Q2025</v>
      </c>
      <c r="F915" s="49" t="str">
        <f>+F914</f>
        <v>N/A</v>
      </c>
    </row>
    <row r="916" spans="1:6" ht="12.75">
      <c r="A916" s="39">
        <f t="shared" si="36"/>
        <v>45736</v>
      </c>
      <c r="B916" s="40">
        <v>45736</v>
      </c>
      <c r="C916" s="65">
        <f t="shared" si="38"/>
        <v>0</v>
      </c>
      <c r="E916" s="3" t="str">
        <f t="shared" si="37"/>
        <v>1Q2025</v>
      </c>
      <c r="F916" s="49" t="str">
        <f>+F915</f>
        <v>N/A</v>
      </c>
    </row>
    <row r="917" spans="1:6" ht="12.75">
      <c r="A917" s="39">
        <f t="shared" si="36"/>
        <v>45767</v>
      </c>
      <c r="B917" s="40">
        <v>45767</v>
      </c>
      <c r="C917" s="65">
        <f t="shared" si="38"/>
        <v>0</v>
      </c>
      <c r="E917" s="3" t="str">
        <f t="shared" si="37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6"/>
        <v>45797</v>
      </c>
      <c r="B918" s="46">
        <v>45797</v>
      </c>
      <c r="C918" s="65">
        <f t="shared" si="38"/>
        <v>0</v>
      </c>
      <c r="E918" s="3" t="str">
        <f t="shared" si="37"/>
        <v>2Q2025</v>
      </c>
      <c r="F918" s="49" t="str">
        <f>+F917</f>
        <v>N/A</v>
      </c>
    </row>
    <row r="919" spans="1:6" ht="12.75">
      <c r="A919" s="39">
        <f t="shared" si="36"/>
        <v>45828</v>
      </c>
      <c r="B919" s="40">
        <v>45828</v>
      </c>
      <c r="C919" s="65">
        <f t="shared" si="38"/>
        <v>0</v>
      </c>
      <c r="E919" s="3" t="str">
        <f t="shared" si="37"/>
        <v>2Q2025</v>
      </c>
      <c r="F919" s="49" t="str">
        <f>+F918</f>
        <v>N/A</v>
      </c>
    </row>
    <row r="920" spans="1:6" ht="12.75">
      <c r="A920" s="39">
        <f t="shared" si="36"/>
        <v>45858</v>
      </c>
      <c r="B920" s="40">
        <v>45858</v>
      </c>
      <c r="C920" s="65">
        <f t="shared" si="38"/>
        <v>0</v>
      </c>
      <c r="E920" s="3" t="str">
        <f t="shared" si="37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6"/>
        <v>45889</v>
      </c>
      <c r="B921" s="46">
        <v>45889</v>
      </c>
      <c r="C921" s="65">
        <f t="shared" si="38"/>
        <v>0</v>
      </c>
      <c r="E921" s="3" t="str">
        <f t="shared" si="37"/>
        <v>3Q2025</v>
      </c>
      <c r="F921" s="49" t="str">
        <f>+F920</f>
        <v>N/A</v>
      </c>
    </row>
    <row r="922" spans="1:6" ht="12.75">
      <c r="A922" s="39">
        <f t="shared" si="36"/>
        <v>45920</v>
      </c>
      <c r="B922" s="40">
        <v>45920</v>
      </c>
      <c r="C922" s="65">
        <f t="shared" si="38"/>
        <v>0</v>
      </c>
      <c r="E922" s="3" t="str">
        <f t="shared" si="37"/>
        <v>3Q2025</v>
      </c>
      <c r="F922" s="49" t="str">
        <f>+F921</f>
        <v>N/A</v>
      </c>
    </row>
    <row r="923" spans="1:6" ht="12.75">
      <c r="A923" s="39">
        <f t="shared" si="36"/>
        <v>45950</v>
      </c>
      <c r="B923" s="40">
        <v>45950</v>
      </c>
      <c r="C923" s="65">
        <f t="shared" si="38"/>
        <v>0</v>
      </c>
      <c r="E923" s="3" t="str">
        <f t="shared" si="37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6"/>
        <v>45981</v>
      </c>
      <c r="B924" s="46">
        <v>45981</v>
      </c>
      <c r="C924" s="65">
        <f t="shared" si="38"/>
        <v>0</v>
      </c>
      <c r="E924" s="3" t="str">
        <f t="shared" si="37"/>
        <v>4Q2025</v>
      </c>
      <c r="F924" s="49" t="str">
        <f>+F923</f>
        <v>N/A</v>
      </c>
    </row>
    <row r="925" spans="1:6" ht="12.75">
      <c r="A925" s="39">
        <f t="shared" si="36"/>
        <v>46011</v>
      </c>
      <c r="B925" s="40">
        <v>46011</v>
      </c>
      <c r="C925" s="65">
        <f t="shared" si="38"/>
        <v>0</v>
      </c>
      <c r="E925" s="3" t="str">
        <f t="shared" si="37"/>
        <v>4Q2025</v>
      </c>
      <c r="F925" s="49" t="str">
        <f>+F924</f>
        <v>N/A</v>
      </c>
    </row>
    <row r="926" spans="1:6" ht="12.75">
      <c r="A926" s="39">
        <f t="shared" si="36"/>
        <v>46042</v>
      </c>
      <c r="B926" s="40">
        <v>46042</v>
      </c>
      <c r="C926" s="65">
        <f t="shared" si="38"/>
        <v>0</v>
      </c>
      <c r="E926" s="3" t="str">
        <f t="shared" si="37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6"/>
        <v>46073</v>
      </c>
      <c r="B927" s="46">
        <v>46073</v>
      </c>
      <c r="C927" s="65">
        <f t="shared" si="38"/>
        <v>0</v>
      </c>
      <c r="E927" s="3" t="str">
        <f t="shared" si="37"/>
        <v>1Q2026</v>
      </c>
      <c r="F927" s="49" t="str">
        <f>+F926</f>
        <v>N/A</v>
      </c>
    </row>
    <row r="928" spans="1:6" ht="12.75">
      <c r="A928" s="39">
        <f t="shared" si="36"/>
        <v>46101</v>
      </c>
      <c r="B928" s="40">
        <v>46101</v>
      </c>
      <c r="C928" s="65">
        <f t="shared" si="38"/>
        <v>0</v>
      </c>
      <c r="E928" s="3" t="str">
        <f t="shared" si="37"/>
        <v>1Q2026</v>
      </c>
      <c r="F928" s="49" t="str">
        <f>+F927</f>
        <v>N/A</v>
      </c>
    </row>
    <row r="929" spans="1:6" ht="12.75">
      <c r="A929" s="39">
        <f t="shared" si="36"/>
        <v>46132</v>
      </c>
      <c r="B929" s="40">
        <v>46132</v>
      </c>
      <c r="C929" s="65">
        <f t="shared" si="38"/>
        <v>0</v>
      </c>
      <c r="E929" s="3" t="str">
        <f t="shared" si="37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6"/>
        <v>46162</v>
      </c>
      <c r="B930" s="46">
        <v>46162</v>
      </c>
      <c r="C930" s="65">
        <f t="shared" si="38"/>
        <v>0</v>
      </c>
      <c r="E930" s="3" t="str">
        <f t="shared" si="37"/>
        <v>2Q2026</v>
      </c>
      <c r="F930" s="49" t="str">
        <f>+F929</f>
        <v>N/A</v>
      </c>
    </row>
    <row r="931" spans="1:6" ht="12.75">
      <c r="A931" s="39">
        <f t="shared" si="36"/>
        <v>46193</v>
      </c>
      <c r="B931" s="40">
        <v>46193</v>
      </c>
      <c r="C931" s="65">
        <f t="shared" si="38"/>
        <v>0</v>
      </c>
      <c r="E931" s="3" t="str">
        <f t="shared" si="37"/>
        <v>2Q2026</v>
      </c>
      <c r="F931" s="49" t="str">
        <f>+F930</f>
        <v>N/A</v>
      </c>
    </row>
    <row r="932" spans="1:6" ht="12.75">
      <c r="A932" s="39">
        <f t="shared" si="36"/>
        <v>46223</v>
      </c>
      <c r="B932" s="40">
        <v>46223</v>
      </c>
      <c r="C932" s="65">
        <f t="shared" si="38"/>
        <v>0</v>
      </c>
      <c r="E932" s="3" t="str">
        <f t="shared" si="37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6"/>
        <v>46254</v>
      </c>
      <c r="B933" s="46">
        <v>46254</v>
      </c>
      <c r="C933" s="65">
        <f t="shared" si="38"/>
        <v>0</v>
      </c>
      <c r="E933" s="3" t="str">
        <f t="shared" si="37"/>
        <v>3Q2026</v>
      </c>
      <c r="F933" s="49" t="str">
        <f>+F932</f>
        <v>N/A</v>
      </c>
    </row>
    <row r="934" spans="1:6" ht="12.75">
      <c r="A934" s="39">
        <f t="shared" si="36"/>
        <v>46285</v>
      </c>
      <c r="B934" s="40">
        <v>46285</v>
      </c>
      <c r="C934" s="65">
        <f t="shared" si="38"/>
        <v>0</v>
      </c>
      <c r="E934" s="3" t="str">
        <f t="shared" si="37"/>
        <v>3Q2026</v>
      </c>
      <c r="F934" s="49" t="str">
        <f>+F933</f>
        <v>N/A</v>
      </c>
    </row>
    <row r="935" spans="1:6" ht="12.75">
      <c r="A935" s="39">
        <f t="shared" si="36"/>
        <v>46315</v>
      </c>
      <c r="B935" s="40">
        <v>46315</v>
      </c>
      <c r="C935" s="65">
        <f t="shared" si="38"/>
        <v>0</v>
      </c>
      <c r="E935" s="3" t="str">
        <f t="shared" si="37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6"/>
        <v>46346</v>
      </c>
      <c r="B936" s="46">
        <v>46346</v>
      </c>
      <c r="C936" s="65">
        <f t="shared" si="38"/>
        <v>0</v>
      </c>
      <c r="E936" s="3" t="str">
        <f t="shared" si="37"/>
        <v>4Q2026</v>
      </c>
      <c r="F936" s="49" t="str">
        <f>+F935</f>
        <v>N/A</v>
      </c>
    </row>
    <row r="937" spans="1:6" ht="12.75">
      <c r="A937" s="39">
        <f t="shared" si="36"/>
        <v>46376</v>
      </c>
      <c r="B937" s="40">
        <v>46376</v>
      </c>
      <c r="C937" s="65">
        <f t="shared" si="38"/>
        <v>0</v>
      </c>
      <c r="E937" s="3" t="str">
        <f t="shared" si="37"/>
        <v>4Q2026</v>
      </c>
      <c r="F937" s="49" t="str">
        <f>+F936</f>
        <v>N/A</v>
      </c>
    </row>
    <row r="938" spans="1:6" ht="12.75">
      <c r="A938" s="39">
        <f t="shared" si="36"/>
        <v>46407</v>
      </c>
      <c r="B938" s="40">
        <v>46407</v>
      </c>
      <c r="C938" s="65">
        <f t="shared" si="38"/>
        <v>0</v>
      </c>
      <c r="E938" s="3" t="str">
        <f t="shared" si="37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6"/>
        <v>46438</v>
      </c>
      <c r="B939" s="46">
        <v>46438</v>
      </c>
      <c r="C939" s="65">
        <f t="shared" si="38"/>
        <v>0</v>
      </c>
      <c r="E939" s="3" t="str">
        <f t="shared" si="37"/>
        <v>1Q2027</v>
      </c>
      <c r="F939" s="49" t="str">
        <f>+F938</f>
        <v>N/A</v>
      </c>
    </row>
    <row r="940" spans="1:6" ht="12.75">
      <c r="A940" s="39">
        <f t="shared" si="36"/>
        <v>46466</v>
      </c>
      <c r="B940" s="40">
        <v>46466</v>
      </c>
      <c r="C940" s="65">
        <f t="shared" si="38"/>
        <v>0</v>
      </c>
      <c r="E940" s="3" t="str">
        <f t="shared" si="37"/>
        <v>1Q2027</v>
      </c>
      <c r="F940" s="49" t="str">
        <f>+F939</f>
        <v>N/A</v>
      </c>
    </row>
    <row r="941" spans="1:6" ht="12.75">
      <c r="A941" s="39">
        <f t="shared" si="36"/>
        <v>46497</v>
      </c>
      <c r="B941" s="40">
        <v>46497</v>
      </c>
      <c r="C941" s="65">
        <f t="shared" si="38"/>
        <v>0</v>
      </c>
      <c r="E941" s="3" t="str">
        <f t="shared" si="37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6"/>
        <v>46527</v>
      </c>
      <c r="B942" s="46">
        <v>46527</v>
      </c>
      <c r="C942" s="65">
        <f t="shared" si="38"/>
        <v>0</v>
      </c>
      <c r="E942" s="3" t="str">
        <f t="shared" si="37"/>
        <v>2Q2027</v>
      </c>
      <c r="F942" s="49" t="str">
        <f>+F941</f>
        <v>N/A</v>
      </c>
    </row>
    <row r="943" spans="1:6" ht="12.75">
      <c r="A943" s="39">
        <f t="shared" si="36"/>
        <v>46558</v>
      </c>
      <c r="B943" s="40">
        <v>46558</v>
      </c>
      <c r="C943" s="65">
        <f t="shared" si="38"/>
        <v>0</v>
      </c>
      <c r="E943" s="3" t="str">
        <f t="shared" si="37"/>
        <v>2Q2027</v>
      </c>
      <c r="F943" s="49" t="str">
        <f>+F942</f>
        <v>N/A</v>
      </c>
    </row>
    <row r="944" spans="1:6" ht="12.75">
      <c r="A944" s="39">
        <f t="shared" si="36"/>
        <v>46588</v>
      </c>
      <c r="B944" s="40">
        <v>46588</v>
      </c>
      <c r="C944" s="65">
        <f t="shared" si="38"/>
        <v>0</v>
      </c>
      <c r="E944" s="3" t="str">
        <f t="shared" si="37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6"/>
        <v>46619</v>
      </c>
      <c r="B945" s="46">
        <v>46619</v>
      </c>
      <c r="C945" s="65">
        <f t="shared" si="38"/>
        <v>0</v>
      </c>
      <c r="E945" s="3" t="str">
        <f t="shared" si="37"/>
        <v>3Q2027</v>
      </c>
      <c r="F945" s="49" t="str">
        <f>+F944</f>
        <v>N/A</v>
      </c>
    </row>
    <row r="946" spans="1:6" ht="12.75">
      <c r="A946" s="39">
        <f t="shared" si="36"/>
        <v>46650</v>
      </c>
      <c r="B946" s="40">
        <v>46650</v>
      </c>
      <c r="C946" s="65">
        <f t="shared" si="38"/>
        <v>0</v>
      </c>
      <c r="E946" s="3" t="str">
        <f t="shared" si="37"/>
        <v>3Q2027</v>
      </c>
      <c r="F946" s="49" t="str">
        <f>+F945</f>
        <v>N/A</v>
      </c>
    </row>
    <row r="947" spans="1:6" ht="12.75">
      <c r="A947" s="39">
        <f t="shared" si="36"/>
        <v>46680</v>
      </c>
      <c r="B947" s="40">
        <v>46680</v>
      </c>
      <c r="C947" s="65">
        <f t="shared" si="38"/>
        <v>0</v>
      </c>
      <c r="E947" s="3" t="str">
        <f t="shared" si="37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6"/>
        <v>46711</v>
      </c>
      <c r="B948" s="46">
        <v>46711</v>
      </c>
      <c r="C948" s="65">
        <f t="shared" si="38"/>
        <v>0</v>
      </c>
      <c r="E948" s="3" t="str">
        <f t="shared" si="37"/>
        <v>4Q2027</v>
      </c>
      <c r="F948" s="49" t="str">
        <f>+F947</f>
        <v>N/A</v>
      </c>
    </row>
    <row r="949" spans="1:6" ht="12.75">
      <c r="A949" s="39">
        <f t="shared" si="36"/>
        <v>46741</v>
      </c>
      <c r="B949" s="40">
        <v>46741</v>
      </c>
      <c r="C949" s="65">
        <f t="shared" si="38"/>
        <v>0</v>
      </c>
      <c r="E949" s="3" t="str">
        <f t="shared" si="37"/>
        <v>4Q2027</v>
      </c>
      <c r="F949" s="49" t="str">
        <f>+F948</f>
        <v>N/A</v>
      </c>
    </row>
    <row r="950" spans="1:6" ht="12.75">
      <c r="A950" s="39">
        <f t="shared" si="36"/>
        <v>46772</v>
      </c>
      <c r="B950" s="40">
        <v>46772</v>
      </c>
      <c r="C950" s="65">
        <f t="shared" si="38"/>
        <v>0</v>
      </c>
      <c r="E950" s="3" t="str">
        <f t="shared" si="37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6"/>
        <v>46803</v>
      </c>
      <c r="B951" s="46">
        <v>46803</v>
      </c>
      <c r="C951" s="65">
        <f t="shared" si="38"/>
        <v>0</v>
      </c>
      <c r="E951" s="3" t="str">
        <f t="shared" si="37"/>
        <v>1Q2028</v>
      </c>
      <c r="F951" s="49" t="str">
        <f>+F950</f>
        <v>N/A</v>
      </c>
    </row>
    <row r="952" spans="1:6" ht="12.75">
      <c r="A952" s="39">
        <f t="shared" si="36"/>
        <v>46832</v>
      </c>
      <c r="B952" s="40">
        <v>46832</v>
      </c>
      <c r="C952" s="65">
        <f t="shared" si="38"/>
        <v>0</v>
      </c>
      <c r="E952" s="3" t="str">
        <f t="shared" si="37"/>
        <v>1Q2028</v>
      </c>
      <c r="F952" s="49" t="str">
        <f>+F951</f>
        <v>N/A</v>
      </c>
    </row>
    <row r="953" spans="1:6" ht="12.75">
      <c r="A953" s="39">
        <f t="shared" si="36"/>
        <v>46863</v>
      </c>
      <c r="B953" s="40">
        <v>46863</v>
      </c>
      <c r="C953" s="65">
        <f t="shared" si="38"/>
        <v>0</v>
      </c>
      <c r="E953" s="3" t="str">
        <f t="shared" si="37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6"/>
        <v>46893</v>
      </c>
      <c r="B954" s="46">
        <v>46893</v>
      </c>
      <c r="C954" s="65">
        <f t="shared" si="38"/>
        <v>0</v>
      </c>
      <c r="E954" s="3" t="str">
        <f t="shared" si="37"/>
        <v>2Q2028</v>
      </c>
      <c r="F954" s="49" t="str">
        <f>+F953</f>
        <v>N/A</v>
      </c>
    </row>
    <row r="955" spans="1:6" ht="12.75">
      <c r="A955" s="39">
        <f t="shared" si="36"/>
        <v>46924</v>
      </c>
      <c r="B955" s="40">
        <v>46924</v>
      </c>
      <c r="C955" s="65">
        <f t="shared" si="38"/>
        <v>0</v>
      </c>
      <c r="E955" s="3" t="str">
        <f t="shared" si="37"/>
        <v>2Q2028</v>
      </c>
      <c r="F955" s="49" t="str">
        <f>+F954</f>
        <v>N/A</v>
      </c>
    </row>
    <row r="956" spans="1:6" ht="12.75">
      <c r="A956" s="39">
        <f t="shared" si="36"/>
        <v>46954</v>
      </c>
      <c r="B956" s="40">
        <v>46954</v>
      </c>
      <c r="C956" s="65">
        <f t="shared" si="38"/>
        <v>0</v>
      </c>
      <c r="E956" s="3" t="str">
        <f t="shared" si="37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6"/>
        <v>46985</v>
      </c>
      <c r="B957" s="46">
        <v>46985</v>
      </c>
      <c r="C957" s="65">
        <f t="shared" si="38"/>
        <v>0</v>
      </c>
      <c r="E957" s="3" t="str">
        <f t="shared" si="37"/>
        <v>3Q2028</v>
      </c>
      <c r="F957" s="49" t="str">
        <f>+F956</f>
        <v>N/A</v>
      </c>
    </row>
    <row r="958" spans="1:6" ht="12.75">
      <c r="A958" s="39">
        <f t="shared" si="36"/>
        <v>47016</v>
      </c>
      <c r="B958" s="40">
        <v>47016</v>
      </c>
      <c r="C958" s="65">
        <f t="shared" si="38"/>
        <v>0</v>
      </c>
      <c r="E958" s="3" t="str">
        <f t="shared" si="37"/>
        <v>3Q2028</v>
      </c>
      <c r="F958" s="49" t="str">
        <f>+F957</f>
        <v>N/A</v>
      </c>
    </row>
    <row r="959" spans="1:6" ht="12.75">
      <c r="A959" s="39">
        <f t="shared" si="36"/>
        <v>47046</v>
      </c>
      <c r="B959" s="40">
        <v>47046</v>
      </c>
      <c r="C959" s="65">
        <f t="shared" si="38"/>
        <v>0</v>
      </c>
      <c r="E959" s="3" t="str">
        <f t="shared" si="37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6"/>
        <v>47077</v>
      </c>
      <c r="B960" s="46">
        <v>47077</v>
      </c>
      <c r="C960" s="65">
        <f t="shared" si="38"/>
        <v>0</v>
      </c>
      <c r="E960" s="3" t="str">
        <f t="shared" si="37"/>
        <v>4Q2028</v>
      </c>
      <c r="F960" s="49" t="str">
        <f>+F959</f>
        <v>N/A</v>
      </c>
    </row>
    <row r="961" spans="1:6" ht="12.75">
      <c r="A961" s="39">
        <f t="shared" si="36"/>
        <v>47107</v>
      </c>
      <c r="B961" s="40">
        <v>47107</v>
      </c>
      <c r="C961" s="65">
        <f t="shared" si="38"/>
        <v>0</v>
      </c>
      <c r="E961" s="3" t="str">
        <f t="shared" si="37"/>
        <v>4Q2028</v>
      </c>
      <c r="F961" s="49" t="str">
        <f>+F960</f>
        <v>N/A</v>
      </c>
    </row>
    <row r="962" spans="1:6" ht="12.75">
      <c r="A962" s="39">
        <f t="shared" si="36"/>
        <v>47138</v>
      </c>
      <c r="B962" s="40">
        <v>47138</v>
      </c>
      <c r="C962" s="65">
        <f t="shared" si="38"/>
        <v>0</v>
      </c>
      <c r="E962" s="3" t="str">
        <f t="shared" si="37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6"/>
        <v>47169</v>
      </c>
      <c r="B963" s="46">
        <v>47169</v>
      </c>
      <c r="C963" s="65">
        <f t="shared" si="38"/>
        <v>0</v>
      </c>
      <c r="E963" s="3" t="str">
        <f t="shared" si="37"/>
        <v>1Q2029</v>
      </c>
      <c r="F963" s="49" t="str">
        <f>+F962</f>
        <v>N/A</v>
      </c>
    </row>
    <row r="964" spans="1:6" ht="12.75">
      <c r="A964" s="39">
        <f t="shared" si="36"/>
        <v>47197</v>
      </c>
      <c r="B964" s="40">
        <v>47197</v>
      </c>
      <c r="C964" s="65">
        <f t="shared" si="38"/>
        <v>0</v>
      </c>
      <c r="E964" s="3" t="str">
        <f t="shared" si="37"/>
        <v>1Q2029</v>
      </c>
      <c r="F964" s="49" t="str">
        <f>+F963</f>
        <v>N/A</v>
      </c>
    </row>
    <row r="965" spans="1:6" ht="12.75">
      <c r="A965" s="39">
        <f aca="true" t="shared" si="39" ref="A965:A1028">+B965</f>
        <v>47228</v>
      </c>
      <c r="B965" s="40">
        <v>47228</v>
      </c>
      <c r="C965" s="65">
        <f t="shared" si="38"/>
        <v>0</v>
      </c>
      <c r="E965" s="3" t="str">
        <f t="shared" si="37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9"/>
        <v>47258</v>
      </c>
      <c r="B966" s="46">
        <v>47258</v>
      </c>
      <c r="C966" s="65">
        <f t="shared" si="38"/>
        <v>0</v>
      </c>
      <c r="E966" s="3" t="str">
        <f t="shared" si="37"/>
        <v>2Q2029</v>
      </c>
      <c r="F966" s="49" t="str">
        <f>+F965</f>
        <v>N/A</v>
      </c>
    </row>
    <row r="967" spans="1:6" ht="12.75">
      <c r="A967" s="39">
        <f t="shared" si="39"/>
        <v>47289</v>
      </c>
      <c r="B967" s="40">
        <v>47289</v>
      </c>
      <c r="C967" s="65">
        <f t="shared" si="38"/>
        <v>0</v>
      </c>
      <c r="E967" s="3" t="str">
        <f t="shared" si="37"/>
        <v>2Q2029</v>
      </c>
      <c r="F967" s="49" t="str">
        <f>+F966</f>
        <v>N/A</v>
      </c>
    </row>
    <row r="968" spans="1:6" ht="12.75">
      <c r="A968" s="39">
        <f t="shared" si="39"/>
        <v>47319</v>
      </c>
      <c r="B968" s="40">
        <v>47319</v>
      </c>
      <c r="C968" s="65">
        <f t="shared" si="38"/>
        <v>0</v>
      </c>
      <c r="E968" s="3" t="str">
        <f t="shared" si="37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9"/>
        <v>47350</v>
      </c>
      <c r="B969" s="46">
        <v>47350</v>
      </c>
      <c r="C969" s="65">
        <f t="shared" si="38"/>
        <v>0</v>
      </c>
      <c r="E969" s="3" t="str">
        <f t="shared" si="37"/>
        <v>3Q2029</v>
      </c>
      <c r="F969" s="49" t="str">
        <f>+F968</f>
        <v>N/A</v>
      </c>
    </row>
    <row r="970" spans="1:6" ht="12.75">
      <c r="A970" s="39">
        <f t="shared" si="39"/>
        <v>47381</v>
      </c>
      <c r="B970" s="40">
        <v>47381</v>
      </c>
      <c r="C970" s="65">
        <f t="shared" si="38"/>
        <v>0</v>
      </c>
      <c r="E970" s="3" t="str">
        <f t="shared" si="37"/>
        <v>3Q2029</v>
      </c>
      <c r="F970" s="49" t="str">
        <f>+F969</f>
        <v>N/A</v>
      </c>
    </row>
    <row r="971" spans="1:6" ht="12.75">
      <c r="A971" s="39">
        <f t="shared" si="39"/>
        <v>47411</v>
      </c>
      <c r="B971" s="40">
        <v>47411</v>
      </c>
      <c r="C971" s="65">
        <f t="shared" si="38"/>
        <v>0</v>
      </c>
      <c r="E971" s="3" t="str">
        <f aca="true" t="shared" si="40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9"/>
        <v>47442</v>
      </c>
      <c r="B972" s="46">
        <v>47442</v>
      </c>
      <c r="C972" s="65">
        <f t="shared" si="38"/>
        <v>0</v>
      </c>
      <c r="E972" s="3" t="str">
        <f t="shared" si="40"/>
        <v>4Q2029</v>
      </c>
      <c r="F972" s="49" t="str">
        <f>+F971</f>
        <v>N/A</v>
      </c>
    </row>
    <row r="973" spans="1:6" ht="12.75">
      <c r="A973" s="39">
        <f t="shared" si="39"/>
        <v>47472</v>
      </c>
      <c r="B973" s="40">
        <v>47472</v>
      </c>
      <c r="C973" s="65">
        <f t="shared" si="38"/>
        <v>0</v>
      </c>
      <c r="E973" s="3" t="str">
        <f t="shared" si="40"/>
        <v>4Q2029</v>
      </c>
      <c r="F973" s="49" t="str">
        <f>+F972</f>
        <v>N/A</v>
      </c>
    </row>
    <row r="974" spans="1:6" ht="12.75">
      <c r="A974" s="39">
        <f t="shared" si="39"/>
        <v>47503</v>
      </c>
      <c r="B974" s="40">
        <v>47503</v>
      </c>
      <c r="C974" s="65">
        <f t="shared" si="38"/>
        <v>0</v>
      </c>
      <c r="E974" s="3" t="str">
        <f t="shared" si="40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9"/>
        <v>47534</v>
      </c>
      <c r="B975" s="46">
        <v>47534</v>
      </c>
      <c r="C975" s="65">
        <f t="shared" si="38"/>
        <v>0</v>
      </c>
      <c r="E975" s="3" t="str">
        <f t="shared" si="40"/>
        <v>1Q2030</v>
      </c>
      <c r="F975" s="49" t="str">
        <f>+F974</f>
        <v>N/A</v>
      </c>
    </row>
    <row r="976" spans="1:6" ht="12.75">
      <c r="A976" s="39">
        <f t="shared" si="39"/>
        <v>47562</v>
      </c>
      <c r="B976" s="40">
        <v>47562</v>
      </c>
      <c r="C976" s="65">
        <f aca="true" t="shared" si="41" ref="C976:C1039">+L976%</f>
        <v>0</v>
      </c>
      <c r="E976" s="3" t="str">
        <f t="shared" si="40"/>
        <v>1Q2030</v>
      </c>
      <c r="F976" s="49" t="str">
        <f>+F975</f>
        <v>N/A</v>
      </c>
    </row>
    <row r="977" spans="1:6" ht="12.75">
      <c r="A977" s="39">
        <f t="shared" si="39"/>
        <v>47593</v>
      </c>
      <c r="B977" s="40">
        <v>47593</v>
      </c>
      <c r="C977" s="65">
        <f t="shared" si="41"/>
        <v>0</v>
      </c>
      <c r="E977" s="3" t="str">
        <f t="shared" si="40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9"/>
        <v>47623</v>
      </c>
      <c r="B978" s="46">
        <v>47623</v>
      </c>
      <c r="C978" s="65">
        <f t="shared" si="41"/>
        <v>0</v>
      </c>
      <c r="E978" s="3" t="str">
        <f t="shared" si="40"/>
        <v>2Q2030</v>
      </c>
      <c r="F978" s="49" t="str">
        <f>+F977</f>
        <v>N/A</v>
      </c>
    </row>
    <row r="979" spans="1:6" ht="12.75">
      <c r="A979" s="39">
        <f t="shared" si="39"/>
        <v>47654</v>
      </c>
      <c r="B979" s="40">
        <v>47654</v>
      </c>
      <c r="C979" s="65">
        <f t="shared" si="41"/>
        <v>0</v>
      </c>
      <c r="E979" s="3" t="str">
        <f t="shared" si="40"/>
        <v>2Q2030</v>
      </c>
      <c r="F979" s="49" t="str">
        <f>+F978</f>
        <v>N/A</v>
      </c>
    </row>
    <row r="980" spans="1:6" ht="12.75">
      <c r="A980" s="39">
        <f t="shared" si="39"/>
        <v>47684</v>
      </c>
      <c r="B980" s="40">
        <v>47684</v>
      </c>
      <c r="C980" s="65">
        <f t="shared" si="41"/>
        <v>0</v>
      </c>
      <c r="E980" s="3" t="str">
        <f t="shared" si="40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9"/>
        <v>47715</v>
      </c>
      <c r="B981" s="46">
        <v>47715</v>
      </c>
      <c r="C981" s="65">
        <f t="shared" si="41"/>
        <v>0</v>
      </c>
      <c r="E981" s="3" t="str">
        <f t="shared" si="40"/>
        <v>3Q2030</v>
      </c>
      <c r="F981" s="49" t="str">
        <f>+F980</f>
        <v>N/A</v>
      </c>
    </row>
    <row r="982" spans="1:6" ht="12.75">
      <c r="A982" s="39">
        <f t="shared" si="39"/>
        <v>47746</v>
      </c>
      <c r="B982" s="40">
        <v>47746</v>
      </c>
      <c r="C982" s="65">
        <f t="shared" si="41"/>
        <v>0</v>
      </c>
      <c r="E982" s="3" t="str">
        <f t="shared" si="40"/>
        <v>3Q2030</v>
      </c>
      <c r="F982" s="49" t="str">
        <f>+F981</f>
        <v>N/A</v>
      </c>
    </row>
    <row r="983" spans="1:6" ht="12.75">
      <c r="A983" s="39">
        <f t="shared" si="39"/>
        <v>47776</v>
      </c>
      <c r="B983" s="40">
        <v>47776</v>
      </c>
      <c r="C983" s="65">
        <f t="shared" si="41"/>
        <v>0</v>
      </c>
      <c r="E983" s="3" t="str">
        <f t="shared" si="40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9"/>
        <v>47807</v>
      </c>
      <c r="B984" s="46">
        <v>47807</v>
      </c>
      <c r="C984" s="65">
        <f t="shared" si="41"/>
        <v>0</v>
      </c>
      <c r="E984" s="3" t="str">
        <f t="shared" si="40"/>
        <v>4Q2030</v>
      </c>
      <c r="F984" s="49" t="str">
        <f>+F983</f>
        <v>N/A</v>
      </c>
    </row>
    <row r="985" spans="1:6" ht="12.75">
      <c r="A985" s="39">
        <f t="shared" si="39"/>
        <v>47837</v>
      </c>
      <c r="B985" s="40">
        <v>47837</v>
      </c>
      <c r="C985" s="65">
        <f t="shared" si="41"/>
        <v>0</v>
      </c>
      <c r="E985" s="3" t="str">
        <f t="shared" si="40"/>
        <v>4Q2030</v>
      </c>
      <c r="F985" s="49" t="str">
        <f>+F984</f>
        <v>N/A</v>
      </c>
    </row>
    <row r="986" spans="1:6" ht="12.75">
      <c r="A986" s="39">
        <f t="shared" si="39"/>
        <v>47868</v>
      </c>
      <c r="B986" s="40">
        <v>47868</v>
      </c>
      <c r="C986" s="65">
        <f t="shared" si="41"/>
        <v>0</v>
      </c>
      <c r="E986" s="3" t="str">
        <f t="shared" si="40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9"/>
        <v>47899</v>
      </c>
      <c r="B987" s="46">
        <v>47899</v>
      </c>
      <c r="C987" s="65">
        <f t="shared" si="41"/>
        <v>0</v>
      </c>
      <c r="E987" s="3" t="str">
        <f t="shared" si="40"/>
        <v>1Q2031</v>
      </c>
      <c r="F987" s="49" t="str">
        <f>+F986</f>
        <v>N/A</v>
      </c>
    </row>
    <row r="988" spans="1:6" ht="12.75">
      <c r="A988" s="39">
        <f t="shared" si="39"/>
        <v>47927</v>
      </c>
      <c r="B988" s="40">
        <v>47927</v>
      </c>
      <c r="C988" s="65">
        <f t="shared" si="41"/>
        <v>0</v>
      </c>
      <c r="E988" s="3" t="str">
        <f t="shared" si="40"/>
        <v>1Q2031</v>
      </c>
      <c r="F988" s="49" t="str">
        <f>+F987</f>
        <v>N/A</v>
      </c>
    </row>
    <row r="989" spans="1:6" ht="12.75">
      <c r="A989" s="39">
        <f t="shared" si="39"/>
        <v>47958</v>
      </c>
      <c r="B989" s="40">
        <v>47958</v>
      </c>
      <c r="C989" s="65">
        <f t="shared" si="41"/>
        <v>0</v>
      </c>
      <c r="E989" s="3" t="str">
        <f t="shared" si="40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9"/>
        <v>47988</v>
      </c>
      <c r="B990" s="46">
        <v>47988</v>
      </c>
      <c r="C990" s="65">
        <f t="shared" si="41"/>
        <v>0</v>
      </c>
      <c r="E990" s="3" t="str">
        <f t="shared" si="40"/>
        <v>2Q2031</v>
      </c>
      <c r="F990" s="49" t="str">
        <f>+F989</f>
        <v>N/A</v>
      </c>
    </row>
    <row r="991" spans="1:6" ht="12.75">
      <c r="A991" s="39">
        <f t="shared" si="39"/>
        <v>48019</v>
      </c>
      <c r="B991" s="40">
        <v>48019</v>
      </c>
      <c r="C991" s="65">
        <f t="shared" si="41"/>
        <v>0</v>
      </c>
      <c r="E991" s="3" t="str">
        <f t="shared" si="40"/>
        <v>2Q2031</v>
      </c>
      <c r="F991" s="49" t="str">
        <f>+F990</f>
        <v>N/A</v>
      </c>
    </row>
    <row r="992" spans="1:6" ht="12.75">
      <c r="A992" s="39">
        <f t="shared" si="39"/>
        <v>48049</v>
      </c>
      <c r="B992" s="40">
        <v>48049</v>
      </c>
      <c r="C992" s="65">
        <f t="shared" si="41"/>
        <v>0</v>
      </c>
      <c r="E992" s="3" t="str">
        <f t="shared" si="40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9"/>
        <v>48080</v>
      </c>
      <c r="B993" s="46">
        <v>48080</v>
      </c>
      <c r="C993" s="65">
        <f t="shared" si="41"/>
        <v>0</v>
      </c>
      <c r="E993" s="3" t="str">
        <f t="shared" si="40"/>
        <v>3Q2031</v>
      </c>
      <c r="F993" s="49" t="str">
        <f>+F992</f>
        <v>N/A</v>
      </c>
    </row>
    <row r="994" spans="1:6" ht="12.75">
      <c r="A994" s="39">
        <f t="shared" si="39"/>
        <v>48111</v>
      </c>
      <c r="B994" s="40">
        <v>48111</v>
      </c>
      <c r="C994" s="65">
        <f t="shared" si="41"/>
        <v>0</v>
      </c>
      <c r="E994" s="3" t="str">
        <f t="shared" si="40"/>
        <v>3Q2031</v>
      </c>
      <c r="F994" s="49" t="str">
        <f>+F993</f>
        <v>N/A</v>
      </c>
    </row>
    <row r="995" spans="1:6" ht="12.75">
      <c r="A995" s="39">
        <f t="shared" si="39"/>
        <v>48141</v>
      </c>
      <c r="B995" s="40">
        <v>48141</v>
      </c>
      <c r="C995" s="65">
        <f t="shared" si="41"/>
        <v>0</v>
      </c>
      <c r="E995" s="3" t="str">
        <f t="shared" si="40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9"/>
        <v>48172</v>
      </c>
      <c r="B996" s="46">
        <v>48172</v>
      </c>
      <c r="C996" s="65">
        <f t="shared" si="41"/>
        <v>0</v>
      </c>
      <c r="E996" s="3" t="str">
        <f t="shared" si="40"/>
        <v>4Q2031</v>
      </c>
      <c r="F996" s="49" t="str">
        <f>+F995</f>
        <v>N/A</v>
      </c>
    </row>
    <row r="997" spans="1:6" ht="12.75">
      <c r="A997" s="39">
        <f t="shared" si="39"/>
        <v>48202</v>
      </c>
      <c r="B997" s="40">
        <v>48202</v>
      </c>
      <c r="C997" s="65">
        <f t="shared" si="41"/>
        <v>0</v>
      </c>
      <c r="E997" s="3" t="str">
        <f t="shared" si="40"/>
        <v>4Q2031</v>
      </c>
      <c r="F997" s="49" t="str">
        <f>+F996</f>
        <v>N/A</v>
      </c>
    </row>
    <row r="998" spans="1:6" ht="12.75">
      <c r="A998" s="39">
        <f t="shared" si="39"/>
        <v>48233</v>
      </c>
      <c r="B998" s="40">
        <v>48233</v>
      </c>
      <c r="C998" s="65">
        <f t="shared" si="41"/>
        <v>0</v>
      </c>
      <c r="E998" s="3" t="str">
        <f t="shared" si="40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9"/>
        <v>48264</v>
      </c>
      <c r="B999" s="46">
        <v>48264</v>
      </c>
      <c r="C999" s="65">
        <f t="shared" si="41"/>
        <v>0</v>
      </c>
      <c r="E999" s="3" t="str">
        <f t="shared" si="40"/>
        <v>1Q2032</v>
      </c>
      <c r="F999" s="49" t="str">
        <f>+F998</f>
        <v>N/A</v>
      </c>
    </row>
    <row r="1000" spans="1:6" ht="12.75">
      <c r="A1000" s="39">
        <f t="shared" si="39"/>
        <v>48293</v>
      </c>
      <c r="B1000" s="40">
        <v>48293</v>
      </c>
      <c r="C1000" s="65">
        <f t="shared" si="41"/>
        <v>0</v>
      </c>
      <c r="E1000" s="3" t="str">
        <f t="shared" si="40"/>
        <v>1Q2032</v>
      </c>
      <c r="F1000" s="49" t="str">
        <f>+F999</f>
        <v>N/A</v>
      </c>
    </row>
    <row r="1001" spans="1:6" ht="12.75">
      <c r="A1001" s="39">
        <f t="shared" si="39"/>
        <v>48324</v>
      </c>
      <c r="B1001" s="40">
        <v>48324</v>
      </c>
      <c r="C1001" s="65">
        <f t="shared" si="41"/>
        <v>0</v>
      </c>
      <c r="E1001" s="3" t="str">
        <f t="shared" si="40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9"/>
        <v>48354</v>
      </c>
      <c r="B1002" s="46">
        <v>48354</v>
      </c>
      <c r="C1002" s="65">
        <f t="shared" si="41"/>
        <v>0</v>
      </c>
      <c r="E1002" s="3" t="str">
        <f t="shared" si="40"/>
        <v>2Q2032</v>
      </c>
      <c r="F1002" s="49" t="str">
        <f>+F1001</f>
        <v>N/A</v>
      </c>
    </row>
    <row r="1003" spans="1:6" ht="12.75">
      <c r="A1003" s="39">
        <f t="shared" si="39"/>
        <v>48385</v>
      </c>
      <c r="B1003" s="40">
        <v>48385</v>
      </c>
      <c r="C1003" s="65">
        <f t="shared" si="41"/>
        <v>0</v>
      </c>
      <c r="E1003" s="3" t="str">
        <f t="shared" si="40"/>
        <v>2Q2032</v>
      </c>
      <c r="F1003" s="49" t="str">
        <f>+F1002</f>
        <v>N/A</v>
      </c>
    </row>
    <row r="1004" spans="1:6" ht="12.75">
      <c r="A1004" s="39">
        <f t="shared" si="39"/>
        <v>48415</v>
      </c>
      <c r="B1004" s="40">
        <v>48415</v>
      </c>
      <c r="C1004" s="65">
        <f t="shared" si="41"/>
        <v>0</v>
      </c>
      <c r="E1004" s="3" t="str">
        <f t="shared" si="40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9"/>
        <v>48446</v>
      </c>
      <c r="B1005" s="46">
        <v>48446</v>
      </c>
      <c r="C1005" s="65">
        <f t="shared" si="41"/>
        <v>0</v>
      </c>
      <c r="E1005" s="3" t="str">
        <f t="shared" si="40"/>
        <v>3Q2032</v>
      </c>
      <c r="F1005" s="49" t="str">
        <f>+F1004</f>
        <v>N/A</v>
      </c>
    </row>
    <row r="1006" spans="1:6" ht="12.75">
      <c r="A1006" s="39">
        <f t="shared" si="39"/>
        <v>48477</v>
      </c>
      <c r="B1006" s="40">
        <v>48477</v>
      </c>
      <c r="C1006" s="65">
        <f t="shared" si="41"/>
        <v>0</v>
      </c>
      <c r="E1006" s="3" t="str">
        <f t="shared" si="40"/>
        <v>3Q2032</v>
      </c>
      <c r="F1006" s="49" t="str">
        <f>+F1005</f>
        <v>N/A</v>
      </c>
    </row>
    <row r="1007" spans="1:6" ht="12.75">
      <c r="A1007" s="39">
        <f t="shared" si="39"/>
        <v>48507</v>
      </c>
      <c r="B1007" s="40">
        <v>48507</v>
      </c>
      <c r="C1007" s="65">
        <f t="shared" si="41"/>
        <v>0</v>
      </c>
      <c r="E1007" s="3" t="str">
        <f t="shared" si="40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9"/>
        <v>48538</v>
      </c>
      <c r="B1008" s="46">
        <v>48538</v>
      </c>
      <c r="C1008" s="65">
        <f t="shared" si="41"/>
        <v>0</v>
      </c>
      <c r="E1008" s="3" t="str">
        <f t="shared" si="40"/>
        <v>4Q2032</v>
      </c>
      <c r="F1008" s="49" t="str">
        <f>+F1007</f>
        <v>N/A</v>
      </c>
    </row>
    <row r="1009" spans="1:6" ht="12.75">
      <c r="A1009" s="39">
        <f t="shared" si="39"/>
        <v>48568</v>
      </c>
      <c r="B1009" s="40">
        <v>48568</v>
      </c>
      <c r="C1009" s="65">
        <f t="shared" si="41"/>
        <v>0</v>
      </c>
      <c r="E1009" s="3" t="str">
        <f t="shared" si="40"/>
        <v>4Q2032</v>
      </c>
      <c r="F1009" s="49" t="str">
        <f>+F1008</f>
        <v>N/A</v>
      </c>
    </row>
    <row r="1010" spans="1:6" ht="12.75">
      <c r="A1010" s="39">
        <f t="shared" si="39"/>
        <v>48599</v>
      </c>
      <c r="B1010" s="40">
        <v>48599</v>
      </c>
      <c r="C1010" s="65">
        <f t="shared" si="41"/>
        <v>0</v>
      </c>
      <c r="E1010" s="3" t="str">
        <f t="shared" si="40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9"/>
        <v>48630</v>
      </c>
      <c r="B1011" s="46">
        <v>48630</v>
      </c>
      <c r="C1011" s="65">
        <f t="shared" si="41"/>
        <v>0</v>
      </c>
      <c r="E1011" s="3" t="str">
        <f t="shared" si="40"/>
        <v>1Q2033</v>
      </c>
      <c r="F1011" s="49" t="str">
        <f>+F1010</f>
        <v>N/A</v>
      </c>
    </row>
    <row r="1012" spans="1:6" ht="12.75">
      <c r="A1012" s="39">
        <f t="shared" si="39"/>
        <v>48658</v>
      </c>
      <c r="B1012" s="40">
        <v>48658</v>
      </c>
      <c r="C1012" s="65">
        <f t="shared" si="41"/>
        <v>0</v>
      </c>
      <c r="E1012" s="3" t="str">
        <f t="shared" si="40"/>
        <v>1Q2033</v>
      </c>
      <c r="F1012" s="49" t="str">
        <f>+F1011</f>
        <v>N/A</v>
      </c>
    </row>
    <row r="1013" spans="1:6" ht="12.75">
      <c r="A1013" s="39">
        <f t="shared" si="39"/>
        <v>48689</v>
      </c>
      <c r="B1013" s="40">
        <v>48689</v>
      </c>
      <c r="C1013" s="65">
        <f t="shared" si="41"/>
        <v>0</v>
      </c>
      <c r="E1013" s="3" t="str">
        <f t="shared" si="40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9"/>
        <v>48719</v>
      </c>
      <c r="B1014" s="46">
        <v>48719</v>
      </c>
      <c r="C1014" s="65">
        <f t="shared" si="41"/>
        <v>0</v>
      </c>
      <c r="E1014" s="3" t="str">
        <f t="shared" si="40"/>
        <v>2Q2033</v>
      </c>
      <c r="F1014" s="49" t="str">
        <f>+F1013</f>
        <v>N/A</v>
      </c>
    </row>
    <row r="1015" spans="1:6" ht="12.75">
      <c r="A1015" s="39">
        <f t="shared" si="39"/>
        <v>48750</v>
      </c>
      <c r="B1015" s="40">
        <v>48750</v>
      </c>
      <c r="C1015" s="65">
        <f t="shared" si="41"/>
        <v>0</v>
      </c>
      <c r="E1015" s="3" t="str">
        <f t="shared" si="40"/>
        <v>2Q2033</v>
      </c>
      <c r="F1015" s="49" t="str">
        <f>+F1014</f>
        <v>N/A</v>
      </c>
    </row>
    <row r="1016" spans="1:6" ht="12.75">
      <c r="A1016" s="39">
        <f t="shared" si="39"/>
        <v>48780</v>
      </c>
      <c r="B1016" s="40">
        <v>48780</v>
      </c>
      <c r="C1016" s="65">
        <f t="shared" si="41"/>
        <v>0</v>
      </c>
      <c r="E1016" s="3" t="str">
        <f t="shared" si="40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9"/>
        <v>48811</v>
      </c>
      <c r="B1017" s="46">
        <v>48811</v>
      </c>
      <c r="C1017" s="65">
        <f t="shared" si="41"/>
        <v>0</v>
      </c>
      <c r="E1017" s="3" t="str">
        <f t="shared" si="40"/>
        <v>3Q2033</v>
      </c>
      <c r="F1017" s="49" t="str">
        <f>+F1016</f>
        <v>N/A</v>
      </c>
    </row>
    <row r="1018" spans="1:6" ht="12.75">
      <c r="A1018" s="39">
        <f t="shared" si="39"/>
        <v>48842</v>
      </c>
      <c r="B1018" s="40">
        <v>48842</v>
      </c>
      <c r="C1018" s="65">
        <f t="shared" si="41"/>
        <v>0</v>
      </c>
      <c r="E1018" s="3" t="str">
        <f t="shared" si="40"/>
        <v>3Q2033</v>
      </c>
      <c r="F1018" s="49" t="str">
        <f>+F1017</f>
        <v>N/A</v>
      </c>
    </row>
    <row r="1019" spans="1:6" ht="12.75">
      <c r="A1019" s="39">
        <f t="shared" si="39"/>
        <v>48872</v>
      </c>
      <c r="B1019" s="40">
        <v>48872</v>
      </c>
      <c r="C1019" s="65">
        <f t="shared" si="41"/>
        <v>0</v>
      </c>
      <c r="E1019" s="3" t="str">
        <f t="shared" si="40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9"/>
        <v>48903</v>
      </c>
      <c r="B1020" s="46">
        <v>48903</v>
      </c>
      <c r="C1020" s="65">
        <f t="shared" si="41"/>
        <v>0</v>
      </c>
      <c r="E1020" s="3" t="str">
        <f t="shared" si="40"/>
        <v>4Q2033</v>
      </c>
      <c r="F1020" s="49" t="str">
        <f>+F1019</f>
        <v>N/A</v>
      </c>
    </row>
    <row r="1021" spans="1:6" ht="12.75">
      <c r="A1021" s="39">
        <f t="shared" si="39"/>
        <v>48933</v>
      </c>
      <c r="B1021" s="40">
        <v>48933</v>
      </c>
      <c r="C1021" s="65">
        <f t="shared" si="41"/>
        <v>0</v>
      </c>
      <c r="E1021" s="3" t="str">
        <f t="shared" si="40"/>
        <v>4Q2033</v>
      </c>
      <c r="F1021" s="49" t="str">
        <f>+F1020</f>
        <v>N/A</v>
      </c>
    </row>
    <row r="1022" spans="1:6" ht="12.75">
      <c r="A1022" s="39">
        <f t="shared" si="39"/>
        <v>48964</v>
      </c>
      <c r="B1022" s="40">
        <v>48964</v>
      </c>
      <c r="C1022" s="65">
        <f t="shared" si="41"/>
        <v>0</v>
      </c>
      <c r="E1022" s="3" t="str">
        <f t="shared" si="40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9"/>
        <v>48995</v>
      </c>
      <c r="B1023" s="46">
        <v>48995</v>
      </c>
      <c r="C1023" s="65">
        <f t="shared" si="41"/>
        <v>0</v>
      </c>
      <c r="E1023" s="3" t="str">
        <f t="shared" si="40"/>
        <v>1Q2034</v>
      </c>
      <c r="F1023" s="49" t="str">
        <f>+F1022</f>
        <v>N/A</v>
      </c>
    </row>
    <row r="1024" spans="1:6" ht="12.75">
      <c r="A1024" s="39">
        <f t="shared" si="39"/>
        <v>49023</v>
      </c>
      <c r="B1024" s="40">
        <v>49023</v>
      </c>
      <c r="C1024" s="65">
        <f t="shared" si="41"/>
        <v>0</v>
      </c>
      <c r="E1024" s="3" t="str">
        <f t="shared" si="40"/>
        <v>1Q2034</v>
      </c>
      <c r="F1024" s="49" t="str">
        <f>+F1023</f>
        <v>N/A</v>
      </c>
    </row>
    <row r="1025" spans="1:6" ht="12.75">
      <c r="A1025" s="39">
        <f t="shared" si="39"/>
        <v>49054</v>
      </c>
      <c r="B1025" s="40">
        <v>49054</v>
      </c>
      <c r="C1025" s="65">
        <f t="shared" si="41"/>
        <v>0</v>
      </c>
      <c r="E1025" s="3" t="str">
        <f t="shared" si="40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9"/>
        <v>49084</v>
      </c>
      <c r="B1026" s="46">
        <v>49084</v>
      </c>
      <c r="C1026" s="65">
        <f t="shared" si="41"/>
        <v>0</v>
      </c>
      <c r="E1026" s="3" t="str">
        <f t="shared" si="40"/>
        <v>2Q2034</v>
      </c>
      <c r="F1026" s="49" t="str">
        <f>+F1025</f>
        <v>N/A</v>
      </c>
    </row>
    <row r="1027" spans="1:6" ht="12.75">
      <c r="A1027" s="39">
        <f t="shared" si="39"/>
        <v>49115</v>
      </c>
      <c r="B1027" s="40">
        <v>49115</v>
      </c>
      <c r="C1027" s="65">
        <f t="shared" si="41"/>
        <v>0</v>
      </c>
      <c r="E1027" s="3" t="str">
        <f t="shared" si="40"/>
        <v>2Q2034</v>
      </c>
      <c r="F1027" s="49" t="str">
        <f>+F1026</f>
        <v>N/A</v>
      </c>
    </row>
    <row r="1028" spans="1:6" ht="12.75">
      <c r="A1028" s="39">
        <f t="shared" si="39"/>
        <v>49145</v>
      </c>
      <c r="B1028" s="40">
        <v>49145</v>
      </c>
      <c r="C1028" s="65">
        <f t="shared" si="41"/>
        <v>0</v>
      </c>
      <c r="E1028" s="3" t="str">
        <f t="shared" si="40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2" ref="A1029:A1092">+B1029</f>
        <v>49176</v>
      </c>
      <c r="B1029" s="46">
        <v>49176</v>
      </c>
      <c r="C1029" s="65">
        <f t="shared" si="41"/>
        <v>0</v>
      </c>
      <c r="E1029" s="3" t="str">
        <f t="shared" si="40"/>
        <v>3Q2034</v>
      </c>
      <c r="F1029" s="49" t="str">
        <f>+F1028</f>
        <v>N/A</v>
      </c>
    </row>
    <row r="1030" spans="1:6" ht="12.75">
      <c r="A1030" s="39">
        <f t="shared" si="42"/>
        <v>49207</v>
      </c>
      <c r="B1030" s="40">
        <v>49207</v>
      </c>
      <c r="C1030" s="65">
        <f t="shared" si="41"/>
        <v>0</v>
      </c>
      <c r="E1030" s="3" t="str">
        <f t="shared" si="40"/>
        <v>3Q2034</v>
      </c>
      <c r="F1030" s="49" t="str">
        <f>+F1029</f>
        <v>N/A</v>
      </c>
    </row>
    <row r="1031" spans="1:6" ht="12.75">
      <c r="A1031" s="39">
        <f t="shared" si="42"/>
        <v>49237</v>
      </c>
      <c r="B1031" s="40">
        <v>49237</v>
      </c>
      <c r="C1031" s="65">
        <f t="shared" si="41"/>
        <v>0</v>
      </c>
      <c r="E1031" s="3" t="str">
        <f t="shared" si="40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2"/>
        <v>49268</v>
      </c>
      <c r="B1032" s="46">
        <v>49268</v>
      </c>
      <c r="C1032" s="65">
        <f t="shared" si="41"/>
        <v>0</v>
      </c>
      <c r="E1032" s="3" t="str">
        <f t="shared" si="40"/>
        <v>4Q2034</v>
      </c>
      <c r="F1032" s="49" t="str">
        <f>+F1031</f>
        <v>N/A</v>
      </c>
    </row>
    <row r="1033" spans="1:6" ht="12.75">
      <c r="A1033" s="39">
        <f t="shared" si="42"/>
        <v>49298</v>
      </c>
      <c r="B1033" s="40">
        <v>49298</v>
      </c>
      <c r="C1033" s="65">
        <f t="shared" si="41"/>
        <v>0</v>
      </c>
      <c r="E1033" s="3" t="str">
        <f t="shared" si="40"/>
        <v>4Q2034</v>
      </c>
      <c r="F1033" s="49" t="str">
        <f>+F1032</f>
        <v>N/A</v>
      </c>
    </row>
    <row r="1034" spans="1:6" ht="12.75">
      <c r="A1034" s="39">
        <f t="shared" si="42"/>
        <v>49329</v>
      </c>
      <c r="B1034" s="40">
        <v>49329</v>
      </c>
      <c r="C1034" s="65">
        <f t="shared" si="41"/>
        <v>0</v>
      </c>
      <c r="E1034" s="3" t="str">
        <f t="shared" si="40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2"/>
        <v>49360</v>
      </c>
      <c r="B1035" s="46">
        <v>49360</v>
      </c>
      <c r="C1035" s="65">
        <f t="shared" si="41"/>
        <v>0</v>
      </c>
      <c r="E1035" s="3" t="str">
        <f aca="true" t="shared" si="43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2"/>
        <v>49388</v>
      </c>
      <c r="B1036" s="40">
        <v>49388</v>
      </c>
      <c r="C1036" s="65">
        <f t="shared" si="41"/>
        <v>0</v>
      </c>
      <c r="E1036" s="3" t="str">
        <f t="shared" si="43"/>
        <v>1Q2035</v>
      </c>
      <c r="F1036" s="49" t="str">
        <f>+F1035</f>
        <v>N/A</v>
      </c>
    </row>
    <row r="1037" spans="1:6" ht="12.75">
      <c r="A1037" s="39">
        <f t="shared" si="42"/>
        <v>49419</v>
      </c>
      <c r="B1037" s="40">
        <v>49419</v>
      </c>
      <c r="C1037" s="65">
        <f t="shared" si="41"/>
        <v>0</v>
      </c>
      <c r="E1037" s="3" t="str">
        <f t="shared" si="43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2"/>
        <v>49449</v>
      </c>
      <c r="B1038" s="46">
        <v>49449</v>
      </c>
      <c r="C1038" s="65">
        <f t="shared" si="41"/>
        <v>0</v>
      </c>
      <c r="E1038" s="3" t="str">
        <f t="shared" si="43"/>
        <v>2Q2035</v>
      </c>
      <c r="F1038" s="49" t="str">
        <f>+F1037</f>
        <v>N/A</v>
      </c>
    </row>
    <row r="1039" spans="1:6" ht="12.75">
      <c r="A1039" s="39">
        <f t="shared" si="42"/>
        <v>49480</v>
      </c>
      <c r="B1039" s="40">
        <v>49480</v>
      </c>
      <c r="C1039" s="65">
        <f t="shared" si="41"/>
        <v>0</v>
      </c>
      <c r="E1039" s="3" t="str">
        <f t="shared" si="43"/>
        <v>2Q2035</v>
      </c>
      <c r="F1039" s="49" t="str">
        <f>+F1038</f>
        <v>N/A</v>
      </c>
    </row>
    <row r="1040" spans="1:6" ht="12.75">
      <c r="A1040" s="39">
        <f t="shared" si="42"/>
        <v>49510</v>
      </c>
      <c r="B1040" s="40">
        <v>49510</v>
      </c>
      <c r="C1040" s="65">
        <f aca="true" t="shared" si="44" ref="C1040:C1103">+L1040%</f>
        <v>0</v>
      </c>
      <c r="E1040" s="3" t="str">
        <f t="shared" si="43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2"/>
        <v>49541</v>
      </c>
      <c r="B1041" s="46">
        <v>49541</v>
      </c>
      <c r="C1041" s="65">
        <f t="shared" si="44"/>
        <v>0</v>
      </c>
      <c r="E1041" s="3" t="str">
        <f t="shared" si="43"/>
        <v>3Q2035</v>
      </c>
      <c r="F1041" s="49" t="str">
        <f>+F1040</f>
        <v>N/A</v>
      </c>
    </row>
    <row r="1042" spans="1:6" ht="12.75">
      <c r="A1042" s="39">
        <f t="shared" si="42"/>
        <v>49572</v>
      </c>
      <c r="B1042" s="40">
        <v>49572</v>
      </c>
      <c r="C1042" s="65">
        <f t="shared" si="44"/>
        <v>0</v>
      </c>
      <c r="E1042" s="3" t="str">
        <f t="shared" si="43"/>
        <v>3Q2035</v>
      </c>
      <c r="F1042" s="49" t="str">
        <f>+F1041</f>
        <v>N/A</v>
      </c>
    </row>
    <row r="1043" spans="1:6" ht="12.75">
      <c r="A1043" s="39">
        <f t="shared" si="42"/>
        <v>49602</v>
      </c>
      <c r="B1043" s="40">
        <v>49602</v>
      </c>
      <c r="C1043" s="65">
        <f t="shared" si="44"/>
        <v>0</v>
      </c>
      <c r="E1043" s="3" t="str">
        <f t="shared" si="43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2"/>
        <v>49633</v>
      </c>
      <c r="B1044" s="46">
        <v>49633</v>
      </c>
      <c r="C1044" s="65">
        <f t="shared" si="44"/>
        <v>0</v>
      </c>
      <c r="E1044" s="3" t="str">
        <f t="shared" si="43"/>
        <v>4Q2035</v>
      </c>
      <c r="F1044" s="49" t="str">
        <f>+F1043</f>
        <v>N/A</v>
      </c>
    </row>
    <row r="1045" spans="1:6" ht="12.75">
      <c r="A1045" s="39">
        <f t="shared" si="42"/>
        <v>49663</v>
      </c>
      <c r="B1045" s="40">
        <v>49663</v>
      </c>
      <c r="C1045" s="65">
        <f t="shared" si="44"/>
        <v>0</v>
      </c>
      <c r="E1045" s="3" t="str">
        <f t="shared" si="43"/>
        <v>4Q2035</v>
      </c>
      <c r="F1045" s="49" t="str">
        <f>+F1044</f>
        <v>N/A</v>
      </c>
    </row>
    <row r="1046" spans="1:6" ht="12.75">
      <c r="A1046" s="39">
        <f t="shared" si="42"/>
        <v>49694</v>
      </c>
      <c r="B1046" s="40">
        <v>49694</v>
      </c>
      <c r="C1046" s="65">
        <f t="shared" si="44"/>
        <v>0</v>
      </c>
      <c r="E1046" s="3" t="str">
        <f t="shared" si="43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2"/>
        <v>49725</v>
      </c>
      <c r="B1047" s="46">
        <v>49725</v>
      </c>
      <c r="C1047" s="65">
        <f t="shared" si="44"/>
        <v>0</v>
      </c>
      <c r="E1047" s="3" t="str">
        <f t="shared" si="43"/>
        <v>1Q2036</v>
      </c>
      <c r="F1047" s="49" t="str">
        <f>+F1046</f>
        <v>N/A</v>
      </c>
    </row>
    <row r="1048" spans="1:6" ht="12.75">
      <c r="A1048" s="39">
        <f t="shared" si="42"/>
        <v>49754</v>
      </c>
      <c r="B1048" s="40">
        <v>49754</v>
      </c>
      <c r="C1048" s="65">
        <f t="shared" si="44"/>
        <v>0</v>
      </c>
      <c r="E1048" s="3" t="str">
        <f t="shared" si="43"/>
        <v>1Q2036</v>
      </c>
      <c r="F1048" s="49" t="str">
        <f>+F1047</f>
        <v>N/A</v>
      </c>
    </row>
    <row r="1049" spans="1:6" ht="12.75">
      <c r="A1049" s="39">
        <f t="shared" si="42"/>
        <v>49785</v>
      </c>
      <c r="B1049" s="40">
        <v>49785</v>
      </c>
      <c r="C1049" s="65">
        <f t="shared" si="44"/>
        <v>0</v>
      </c>
      <c r="E1049" s="3" t="str">
        <f t="shared" si="43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2"/>
        <v>49815</v>
      </c>
      <c r="B1050" s="46">
        <v>49815</v>
      </c>
      <c r="C1050" s="65">
        <f t="shared" si="44"/>
        <v>0</v>
      </c>
      <c r="E1050" s="3" t="str">
        <f t="shared" si="43"/>
        <v>2Q2036</v>
      </c>
      <c r="F1050" s="49" t="str">
        <f>+F1049</f>
        <v>N/A</v>
      </c>
    </row>
    <row r="1051" spans="1:6" ht="12.75">
      <c r="A1051" s="39">
        <f t="shared" si="42"/>
        <v>49846</v>
      </c>
      <c r="B1051" s="40">
        <v>49846</v>
      </c>
      <c r="C1051" s="65">
        <f t="shared" si="44"/>
        <v>0</v>
      </c>
      <c r="E1051" s="3" t="str">
        <f t="shared" si="43"/>
        <v>2Q2036</v>
      </c>
      <c r="F1051" s="49" t="str">
        <f>+F1050</f>
        <v>N/A</v>
      </c>
    </row>
    <row r="1052" spans="1:6" ht="12.75">
      <c r="A1052" s="39">
        <f t="shared" si="42"/>
        <v>49876</v>
      </c>
      <c r="B1052" s="40">
        <v>49876</v>
      </c>
      <c r="C1052" s="65">
        <f t="shared" si="44"/>
        <v>0</v>
      </c>
      <c r="E1052" s="3" t="str">
        <f t="shared" si="43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2"/>
        <v>49907</v>
      </c>
      <c r="B1053" s="46">
        <v>49907</v>
      </c>
      <c r="C1053" s="65">
        <f t="shared" si="44"/>
        <v>0</v>
      </c>
      <c r="E1053" s="3" t="str">
        <f t="shared" si="43"/>
        <v>3Q2036</v>
      </c>
      <c r="F1053" s="49" t="str">
        <f>+F1052</f>
        <v>N/A</v>
      </c>
    </row>
    <row r="1054" spans="1:6" ht="12.75">
      <c r="A1054" s="39">
        <f t="shared" si="42"/>
        <v>49938</v>
      </c>
      <c r="B1054" s="40">
        <v>49938</v>
      </c>
      <c r="C1054" s="65">
        <f t="shared" si="44"/>
        <v>0</v>
      </c>
      <c r="E1054" s="3" t="str">
        <f t="shared" si="43"/>
        <v>3Q2036</v>
      </c>
      <c r="F1054" s="49" t="str">
        <f>+F1053</f>
        <v>N/A</v>
      </c>
    </row>
    <row r="1055" spans="1:6" ht="12.75">
      <c r="A1055" s="39">
        <f t="shared" si="42"/>
        <v>49968</v>
      </c>
      <c r="B1055" s="40">
        <v>49968</v>
      </c>
      <c r="C1055" s="65">
        <f t="shared" si="44"/>
        <v>0</v>
      </c>
      <c r="E1055" s="3" t="str">
        <f t="shared" si="43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2"/>
        <v>49999</v>
      </c>
      <c r="B1056" s="46">
        <v>49999</v>
      </c>
      <c r="C1056" s="65">
        <f t="shared" si="44"/>
        <v>0</v>
      </c>
      <c r="E1056" s="3" t="str">
        <f t="shared" si="43"/>
        <v>4Q2036</v>
      </c>
      <c r="F1056" s="49" t="str">
        <f>+F1055</f>
        <v>N/A</v>
      </c>
    </row>
    <row r="1057" spans="1:6" ht="12.75">
      <c r="A1057" s="39">
        <f t="shared" si="42"/>
        <v>50029</v>
      </c>
      <c r="B1057" s="40">
        <v>50029</v>
      </c>
      <c r="C1057" s="65">
        <f t="shared" si="44"/>
        <v>0</v>
      </c>
      <c r="E1057" s="3" t="str">
        <f t="shared" si="43"/>
        <v>4Q2036</v>
      </c>
      <c r="F1057" s="49" t="str">
        <f>+F1056</f>
        <v>N/A</v>
      </c>
    </row>
    <row r="1058" spans="1:6" ht="12.75">
      <c r="A1058" s="39">
        <f t="shared" si="42"/>
        <v>50060</v>
      </c>
      <c r="B1058" s="40">
        <v>50060</v>
      </c>
      <c r="C1058" s="65">
        <f t="shared" si="44"/>
        <v>0</v>
      </c>
      <c r="E1058" s="3" t="str">
        <f t="shared" si="43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2"/>
        <v>50091</v>
      </c>
      <c r="B1059" s="46">
        <v>50091</v>
      </c>
      <c r="C1059" s="65">
        <f t="shared" si="44"/>
        <v>0</v>
      </c>
      <c r="E1059" s="3" t="str">
        <f t="shared" si="43"/>
        <v>1Q2037</v>
      </c>
      <c r="F1059" s="49" t="str">
        <f>+F1058</f>
        <v>N/A</v>
      </c>
    </row>
    <row r="1060" spans="1:6" ht="12.75">
      <c r="A1060" s="39">
        <f t="shared" si="42"/>
        <v>50119</v>
      </c>
      <c r="B1060" s="40">
        <v>50119</v>
      </c>
      <c r="C1060" s="65">
        <f t="shared" si="44"/>
        <v>0</v>
      </c>
      <c r="E1060" s="3" t="str">
        <f t="shared" si="43"/>
        <v>1Q2037</v>
      </c>
      <c r="F1060" s="49" t="str">
        <f>+F1059</f>
        <v>N/A</v>
      </c>
    </row>
    <row r="1061" spans="1:6" ht="12.75">
      <c r="A1061" s="39">
        <f t="shared" si="42"/>
        <v>50150</v>
      </c>
      <c r="B1061" s="40">
        <v>50150</v>
      </c>
      <c r="C1061" s="65">
        <f t="shared" si="44"/>
        <v>0</v>
      </c>
      <c r="E1061" s="3" t="str">
        <f t="shared" si="43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2"/>
        <v>50180</v>
      </c>
      <c r="B1062" s="46">
        <v>50180</v>
      </c>
      <c r="C1062" s="65">
        <f t="shared" si="44"/>
        <v>0</v>
      </c>
      <c r="E1062" s="3" t="str">
        <f t="shared" si="43"/>
        <v>2Q2037</v>
      </c>
      <c r="F1062" s="49" t="str">
        <f>+F1061</f>
        <v>N/A</v>
      </c>
    </row>
    <row r="1063" spans="1:6" ht="12.75">
      <c r="A1063" s="39">
        <f t="shared" si="42"/>
        <v>50211</v>
      </c>
      <c r="B1063" s="40">
        <v>50211</v>
      </c>
      <c r="C1063" s="65">
        <f t="shared" si="44"/>
        <v>0</v>
      </c>
      <c r="E1063" s="3" t="str">
        <f t="shared" si="43"/>
        <v>2Q2037</v>
      </c>
      <c r="F1063" s="49" t="str">
        <f>+F1062</f>
        <v>N/A</v>
      </c>
    </row>
    <row r="1064" spans="1:6" ht="12.75">
      <c r="A1064" s="39">
        <f t="shared" si="42"/>
        <v>50241</v>
      </c>
      <c r="B1064" s="40">
        <v>50241</v>
      </c>
      <c r="C1064" s="65">
        <f t="shared" si="44"/>
        <v>0</v>
      </c>
      <c r="E1064" s="3" t="str">
        <f t="shared" si="43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2"/>
        <v>50272</v>
      </c>
      <c r="B1065" s="46">
        <v>50272</v>
      </c>
      <c r="C1065" s="65">
        <f t="shared" si="44"/>
        <v>0</v>
      </c>
      <c r="E1065" s="3" t="str">
        <f t="shared" si="43"/>
        <v>3Q2037</v>
      </c>
      <c r="F1065" s="49" t="str">
        <f>+F1064</f>
        <v>N/A</v>
      </c>
    </row>
    <row r="1066" spans="1:6" ht="12.75">
      <c r="A1066" s="39">
        <f t="shared" si="42"/>
        <v>50303</v>
      </c>
      <c r="B1066" s="40">
        <v>50303</v>
      </c>
      <c r="C1066" s="65">
        <f t="shared" si="44"/>
        <v>0</v>
      </c>
      <c r="E1066" s="3" t="str">
        <f t="shared" si="43"/>
        <v>3Q2037</v>
      </c>
      <c r="F1066" s="49" t="str">
        <f>+F1065</f>
        <v>N/A</v>
      </c>
    </row>
    <row r="1067" spans="1:6" ht="12.75">
      <c r="A1067" s="39">
        <f t="shared" si="42"/>
        <v>50333</v>
      </c>
      <c r="B1067" s="40">
        <v>50333</v>
      </c>
      <c r="C1067" s="65">
        <f t="shared" si="44"/>
        <v>0</v>
      </c>
      <c r="E1067" s="3" t="str">
        <f t="shared" si="43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2"/>
        <v>50364</v>
      </c>
      <c r="B1068" s="46">
        <v>50364</v>
      </c>
      <c r="C1068" s="65">
        <f t="shared" si="44"/>
        <v>0</v>
      </c>
      <c r="E1068" s="3" t="str">
        <f t="shared" si="43"/>
        <v>4Q2037</v>
      </c>
      <c r="F1068" s="49" t="str">
        <f>+F1067</f>
        <v>N/A</v>
      </c>
    </row>
    <row r="1069" spans="1:6" ht="12.75">
      <c r="A1069" s="39">
        <f t="shared" si="42"/>
        <v>50394</v>
      </c>
      <c r="B1069" s="40">
        <v>50394</v>
      </c>
      <c r="C1069" s="65">
        <f t="shared" si="44"/>
        <v>0</v>
      </c>
      <c r="E1069" s="3" t="str">
        <f t="shared" si="43"/>
        <v>4Q2037</v>
      </c>
      <c r="F1069" s="49" t="str">
        <f>+F1068</f>
        <v>N/A</v>
      </c>
    </row>
    <row r="1070" spans="1:6" ht="12.75">
      <c r="A1070" s="39">
        <f t="shared" si="42"/>
        <v>50425</v>
      </c>
      <c r="B1070" s="40">
        <v>50425</v>
      </c>
      <c r="C1070" s="65">
        <f t="shared" si="44"/>
        <v>0</v>
      </c>
      <c r="E1070" s="3" t="str">
        <f t="shared" si="43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2"/>
        <v>50456</v>
      </c>
      <c r="B1071" s="46">
        <v>50456</v>
      </c>
      <c r="C1071" s="65">
        <f t="shared" si="44"/>
        <v>0</v>
      </c>
      <c r="E1071" s="3" t="str">
        <f t="shared" si="43"/>
        <v>1Q2038</v>
      </c>
      <c r="F1071" s="49" t="str">
        <f>+F1070</f>
        <v>N/A</v>
      </c>
    </row>
    <row r="1072" spans="1:6" ht="12.75">
      <c r="A1072" s="39">
        <f t="shared" si="42"/>
        <v>50484</v>
      </c>
      <c r="B1072" s="40">
        <v>50484</v>
      </c>
      <c r="C1072" s="65">
        <f t="shared" si="44"/>
        <v>0</v>
      </c>
      <c r="E1072" s="3" t="str">
        <f t="shared" si="43"/>
        <v>1Q2038</v>
      </c>
      <c r="F1072" s="49" t="str">
        <f>+F1071</f>
        <v>N/A</v>
      </c>
    </row>
    <row r="1073" spans="1:6" ht="12.75">
      <c r="A1073" s="39">
        <f t="shared" si="42"/>
        <v>50515</v>
      </c>
      <c r="B1073" s="40">
        <v>50515</v>
      </c>
      <c r="C1073" s="65">
        <f t="shared" si="44"/>
        <v>0</v>
      </c>
      <c r="E1073" s="3" t="str">
        <f t="shared" si="43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2"/>
        <v>50545</v>
      </c>
      <c r="B1074" s="46">
        <v>50545</v>
      </c>
      <c r="C1074" s="65">
        <f t="shared" si="44"/>
        <v>0</v>
      </c>
      <c r="E1074" s="3" t="str">
        <f t="shared" si="43"/>
        <v>2Q2038</v>
      </c>
      <c r="F1074" s="49" t="str">
        <f>+F1073</f>
        <v>N/A</v>
      </c>
    </row>
    <row r="1075" spans="1:6" ht="12.75">
      <c r="A1075" s="39">
        <f t="shared" si="42"/>
        <v>50576</v>
      </c>
      <c r="B1075" s="40">
        <v>50576</v>
      </c>
      <c r="C1075" s="65">
        <f t="shared" si="44"/>
        <v>0</v>
      </c>
      <c r="E1075" s="3" t="str">
        <f t="shared" si="43"/>
        <v>2Q2038</v>
      </c>
      <c r="F1075" s="49" t="str">
        <f>+F1074</f>
        <v>N/A</v>
      </c>
    </row>
    <row r="1076" spans="1:6" ht="12.75">
      <c r="A1076" s="39">
        <f t="shared" si="42"/>
        <v>50606</v>
      </c>
      <c r="B1076" s="40">
        <v>50606</v>
      </c>
      <c r="C1076" s="65">
        <f t="shared" si="44"/>
        <v>0</v>
      </c>
      <c r="E1076" s="3" t="str">
        <f t="shared" si="43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2"/>
        <v>50637</v>
      </c>
      <c r="B1077" s="46">
        <v>50637</v>
      </c>
      <c r="C1077" s="65">
        <f t="shared" si="44"/>
        <v>0</v>
      </c>
      <c r="E1077" s="3" t="str">
        <f t="shared" si="43"/>
        <v>3Q2038</v>
      </c>
      <c r="F1077" s="49" t="str">
        <f>+F1076</f>
        <v>N/A</v>
      </c>
    </row>
    <row r="1078" spans="1:6" ht="12.75">
      <c r="A1078" s="39">
        <f t="shared" si="42"/>
        <v>50668</v>
      </c>
      <c r="B1078" s="40">
        <v>50668</v>
      </c>
      <c r="C1078" s="65">
        <f t="shared" si="44"/>
        <v>0</v>
      </c>
      <c r="E1078" s="3" t="str">
        <f t="shared" si="43"/>
        <v>3Q2038</v>
      </c>
      <c r="F1078" s="49" t="str">
        <f>+F1077</f>
        <v>N/A</v>
      </c>
    </row>
    <row r="1079" spans="1:6" ht="12.75">
      <c r="A1079" s="39">
        <f t="shared" si="42"/>
        <v>50698</v>
      </c>
      <c r="B1079" s="40">
        <v>50698</v>
      </c>
      <c r="C1079" s="65">
        <f t="shared" si="44"/>
        <v>0</v>
      </c>
      <c r="E1079" s="3" t="str">
        <f t="shared" si="43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2"/>
        <v>50729</v>
      </c>
      <c r="B1080" s="46">
        <v>50729</v>
      </c>
      <c r="C1080" s="65">
        <f t="shared" si="44"/>
        <v>0</v>
      </c>
      <c r="E1080" s="3" t="str">
        <f t="shared" si="43"/>
        <v>4Q2038</v>
      </c>
      <c r="F1080" s="49" t="str">
        <f>+F1079</f>
        <v>N/A</v>
      </c>
    </row>
    <row r="1081" spans="1:6" ht="12.75">
      <c r="A1081" s="39">
        <f t="shared" si="42"/>
        <v>50759</v>
      </c>
      <c r="B1081" s="40">
        <v>50759</v>
      </c>
      <c r="C1081" s="65">
        <f t="shared" si="44"/>
        <v>0</v>
      </c>
      <c r="E1081" s="3" t="str">
        <f t="shared" si="43"/>
        <v>4Q2038</v>
      </c>
      <c r="F1081" s="49" t="str">
        <f>+F1080</f>
        <v>N/A</v>
      </c>
    </row>
    <row r="1082" spans="1:6" ht="12.75">
      <c r="A1082" s="39">
        <f t="shared" si="42"/>
        <v>50790</v>
      </c>
      <c r="B1082" s="40">
        <v>50790</v>
      </c>
      <c r="C1082" s="65">
        <f t="shared" si="44"/>
        <v>0</v>
      </c>
      <c r="E1082" s="3" t="str">
        <f t="shared" si="43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2"/>
        <v>50821</v>
      </c>
      <c r="B1083" s="46">
        <v>50821</v>
      </c>
      <c r="C1083" s="65">
        <f t="shared" si="44"/>
        <v>0</v>
      </c>
      <c r="E1083" s="3" t="str">
        <f t="shared" si="43"/>
        <v>1Q2039</v>
      </c>
      <c r="F1083" s="49" t="str">
        <f>+F1082</f>
        <v>N/A</v>
      </c>
    </row>
    <row r="1084" spans="1:6" ht="12.75">
      <c r="A1084" s="39">
        <f t="shared" si="42"/>
        <v>50849</v>
      </c>
      <c r="B1084" s="40">
        <v>50849</v>
      </c>
      <c r="C1084" s="65">
        <f t="shared" si="44"/>
        <v>0</v>
      </c>
      <c r="E1084" s="3" t="str">
        <f t="shared" si="43"/>
        <v>1Q2039</v>
      </c>
      <c r="F1084" s="49" t="str">
        <f>+F1083</f>
        <v>N/A</v>
      </c>
    </row>
    <row r="1085" spans="1:6" ht="12.75">
      <c r="A1085" s="39">
        <f t="shared" si="42"/>
        <v>50880</v>
      </c>
      <c r="B1085" s="40">
        <v>50880</v>
      </c>
      <c r="C1085" s="65">
        <f t="shared" si="44"/>
        <v>0</v>
      </c>
      <c r="E1085" s="3" t="str">
        <f t="shared" si="43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2"/>
        <v>50910</v>
      </c>
      <c r="B1086" s="46">
        <v>50910</v>
      </c>
      <c r="C1086" s="65">
        <f t="shared" si="44"/>
        <v>0</v>
      </c>
      <c r="E1086" s="3" t="str">
        <f t="shared" si="43"/>
        <v>2Q2039</v>
      </c>
      <c r="F1086" s="49" t="str">
        <f>+F1085</f>
        <v>N/A</v>
      </c>
    </row>
    <row r="1087" spans="1:6" ht="12.75">
      <c r="A1087" s="39">
        <f t="shared" si="42"/>
        <v>50941</v>
      </c>
      <c r="B1087" s="40">
        <v>50941</v>
      </c>
      <c r="C1087" s="65">
        <f t="shared" si="44"/>
        <v>0</v>
      </c>
      <c r="E1087" s="3" t="str">
        <f t="shared" si="43"/>
        <v>2Q2039</v>
      </c>
      <c r="F1087" s="49" t="str">
        <f>+F1086</f>
        <v>N/A</v>
      </c>
    </row>
    <row r="1088" spans="1:6" ht="12.75">
      <c r="A1088" s="39">
        <f t="shared" si="42"/>
        <v>50971</v>
      </c>
      <c r="B1088" s="40">
        <v>50971</v>
      </c>
      <c r="C1088" s="65">
        <f t="shared" si="44"/>
        <v>0</v>
      </c>
      <c r="E1088" s="3" t="str">
        <f t="shared" si="43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2"/>
        <v>51002</v>
      </c>
      <c r="B1089" s="46">
        <v>51002</v>
      </c>
      <c r="C1089" s="65">
        <f t="shared" si="44"/>
        <v>0</v>
      </c>
      <c r="E1089" s="3" t="str">
        <f t="shared" si="43"/>
        <v>3Q2039</v>
      </c>
      <c r="F1089" s="49" t="str">
        <f>+F1088</f>
        <v>N/A</v>
      </c>
    </row>
    <row r="1090" spans="1:6" ht="12.75">
      <c r="A1090" s="39">
        <f t="shared" si="42"/>
        <v>51033</v>
      </c>
      <c r="B1090" s="40">
        <v>51033</v>
      </c>
      <c r="C1090" s="65">
        <f t="shared" si="44"/>
        <v>0</v>
      </c>
      <c r="E1090" s="3" t="str">
        <f t="shared" si="43"/>
        <v>3Q2039</v>
      </c>
      <c r="F1090" s="49" t="str">
        <f>+F1089</f>
        <v>N/A</v>
      </c>
    </row>
    <row r="1091" spans="1:6" ht="12.75">
      <c r="A1091" s="39">
        <f t="shared" si="42"/>
        <v>51063</v>
      </c>
      <c r="B1091" s="40">
        <v>51063</v>
      </c>
      <c r="C1091" s="65">
        <f t="shared" si="44"/>
        <v>0</v>
      </c>
      <c r="E1091" s="3" t="str">
        <f t="shared" si="43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2"/>
        <v>51094</v>
      </c>
      <c r="B1092" s="46">
        <v>51094</v>
      </c>
      <c r="C1092" s="65">
        <f t="shared" si="44"/>
        <v>0</v>
      </c>
      <c r="E1092" s="3" t="str">
        <f t="shared" si="43"/>
        <v>4Q2039</v>
      </c>
      <c r="F1092" s="49" t="str">
        <f>+F1091</f>
        <v>N/A</v>
      </c>
    </row>
    <row r="1093" spans="1:6" ht="12.75">
      <c r="A1093" s="39">
        <f aca="true" t="shared" si="45" ref="A1093:A1156">+B1093</f>
        <v>51124</v>
      </c>
      <c r="B1093" s="40">
        <v>51124</v>
      </c>
      <c r="C1093" s="65">
        <f t="shared" si="44"/>
        <v>0</v>
      </c>
      <c r="E1093" s="3" t="str">
        <f t="shared" si="43"/>
        <v>4Q2039</v>
      </c>
      <c r="F1093" s="49" t="str">
        <f>+F1092</f>
        <v>N/A</v>
      </c>
    </row>
    <row r="1094" spans="1:6" ht="12.75">
      <c r="A1094" s="39">
        <f t="shared" si="45"/>
        <v>51155</v>
      </c>
      <c r="B1094" s="40">
        <v>51155</v>
      </c>
      <c r="C1094" s="65">
        <f t="shared" si="44"/>
        <v>0</v>
      </c>
      <c r="E1094" s="3" t="str">
        <f t="shared" si="43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5"/>
        <v>51186</v>
      </c>
      <c r="B1095" s="46">
        <v>51186</v>
      </c>
      <c r="C1095" s="65">
        <f t="shared" si="44"/>
        <v>0</v>
      </c>
      <c r="E1095" s="3" t="str">
        <f t="shared" si="43"/>
        <v>1Q2040</v>
      </c>
      <c r="F1095" s="49" t="str">
        <f>+F1094</f>
        <v>N/A</v>
      </c>
    </row>
    <row r="1096" spans="1:6" ht="12.75">
      <c r="A1096" s="39">
        <f t="shared" si="45"/>
        <v>51215</v>
      </c>
      <c r="B1096" s="40">
        <v>51215</v>
      </c>
      <c r="C1096" s="65">
        <f t="shared" si="44"/>
        <v>0</v>
      </c>
      <c r="E1096" s="3" t="str">
        <f t="shared" si="43"/>
        <v>1Q2040</v>
      </c>
      <c r="F1096" s="49" t="str">
        <f>+F1095</f>
        <v>N/A</v>
      </c>
    </row>
    <row r="1097" spans="1:6" ht="12.75">
      <c r="A1097" s="39">
        <f t="shared" si="45"/>
        <v>51246</v>
      </c>
      <c r="B1097" s="40">
        <v>51246</v>
      </c>
      <c r="C1097" s="65">
        <f t="shared" si="44"/>
        <v>0</v>
      </c>
      <c r="E1097" s="3" t="str">
        <f t="shared" si="43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5"/>
        <v>51276</v>
      </c>
      <c r="B1098" s="46">
        <v>51276</v>
      </c>
      <c r="C1098" s="65">
        <f t="shared" si="44"/>
        <v>0</v>
      </c>
      <c r="E1098" s="3" t="str">
        <f t="shared" si="43"/>
        <v>2Q2040</v>
      </c>
      <c r="F1098" s="49" t="str">
        <f>+F1097</f>
        <v>N/A</v>
      </c>
    </row>
    <row r="1099" spans="1:6" ht="12.75">
      <c r="A1099" s="39">
        <f t="shared" si="45"/>
        <v>51307</v>
      </c>
      <c r="B1099" s="40">
        <v>51307</v>
      </c>
      <c r="C1099" s="65">
        <f t="shared" si="44"/>
        <v>0</v>
      </c>
      <c r="E1099" s="3" t="str">
        <f aca="true" t="shared" si="46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5"/>
        <v>51337</v>
      </c>
      <c r="B1100" s="40">
        <v>51337</v>
      </c>
      <c r="C1100" s="65">
        <f t="shared" si="44"/>
        <v>0</v>
      </c>
      <c r="E1100" s="3" t="str">
        <f t="shared" si="46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5"/>
        <v>51368</v>
      </c>
      <c r="B1101" s="46">
        <v>51368</v>
      </c>
      <c r="C1101" s="65">
        <f t="shared" si="44"/>
        <v>0</v>
      </c>
      <c r="E1101" s="3" t="str">
        <f t="shared" si="46"/>
        <v>3Q2040</v>
      </c>
      <c r="F1101" s="49" t="str">
        <f>+F1100</f>
        <v>N/A</v>
      </c>
    </row>
    <row r="1102" spans="1:6" ht="12.75">
      <c r="A1102" s="39">
        <f t="shared" si="45"/>
        <v>51399</v>
      </c>
      <c r="B1102" s="40">
        <v>51399</v>
      </c>
      <c r="C1102" s="65">
        <f t="shared" si="44"/>
        <v>0</v>
      </c>
      <c r="E1102" s="3" t="str">
        <f t="shared" si="46"/>
        <v>3Q2040</v>
      </c>
      <c r="F1102" s="49" t="str">
        <f>+F1101</f>
        <v>N/A</v>
      </c>
    </row>
    <row r="1103" spans="1:6" ht="12.75">
      <c r="A1103" s="39">
        <f t="shared" si="45"/>
        <v>51429</v>
      </c>
      <c r="B1103" s="40">
        <v>51429</v>
      </c>
      <c r="C1103" s="65">
        <f t="shared" si="44"/>
        <v>0</v>
      </c>
      <c r="E1103" s="3" t="str">
        <f t="shared" si="46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5"/>
        <v>51460</v>
      </c>
      <c r="B1104" s="46">
        <v>51460</v>
      </c>
      <c r="C1104" s="65">
        <f aca="true" t="shared" si="47" ref="C1104:C1165">+L1104%</f>
        <v>0</v>
      </c>
      <c r="E1104" s="3" t="str">
        <f t="shared" si="46"/>
        <v>4Q2040</v>
      </c>
      <c r="F1104" s="49" t="str">
        <f>+F1103</f>
        <v>N/A</v>
      </c>
    </row>
    <row r="1105" spans="1:6" ht="12.75">
      <c r="A1105" s="39">
        <f t="shared" si="45"/>
        <v>51490</v>
      </c>
      <c r="B1105" s="40">
        <v>51490</v>
      </c>
      <c r="C1105" s="65">
        <f t="shared" si="47"/>
        <v>0</v>
      </c>
      <c r="E1105" s="3" t="str">
        <f t="shared" si="46"/>
        <v>4Q2040</v>
      </c>
      <c r="F1105" s="49" t="str">
        <f>+F1104</f>
        <v>N/A</v>
      </c>
    </row>
    <row r="1106" spans="1:6" ht="12.75">
      <c r="A1106" s="39">
        <f t="shared" si="45"/>
        <v>51521</v>
      </c>
      <c r="B1106" s="40">
        <v>51521</v>
      </c>
      <c r="C1106" s="65">
        <f t="shared" si="47"/>
        <v>0</v>
      </c>
      <c r="E1106" s="3" t="str">
        <f t="shared" si="46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5"/>
        <v>51552</v>
      </c>
      <c r="B1107" s="46">
        <v>51552</v>
      </c>
      <c r="C1107" s="65">
        <f t="shared" si="47"/>
        <v>0</v>
      </c>
      <c r="E1107" s="3" t="str">
        <f t="shared" si="46"/>
        <v>1Q2041</v>
      </c>
      <c r="F1107" s="49" t="str">
        <f>+F1106</f>
        <v>N/A</v>
      </c>
    </row>
    <row r="1108" spans="1:6" ht="12.75">
      <c r="A1108" s="39">
        <f t="shared" si="45"/>
        <v>51580</v>
      </c>
      <c r="B1108" s="40">
        <v>51580</v>
      </c>
      <c r="C1108" s="65">
        <f t="shared" si="47"/>
        <v>0</v>
      </c>
      <c r="E1108" s="3" t="str">
        <f t="shared" si="46"/>
        <v>1Q2041</v>
      </c>
      <c r="F1108" s="49" t="str">
        <f>+F1107</f>
        <v>N/A</v>
      </c>
    </row>
    <row r="1109" spans="1:6" ht="12.75">
      <c r="A1109" s="39">
        <f t="shared" si="45"/>
        <v>51611</v>
      </c>
      <c r="B1109" s="40">
        <v>51611</v>
      </c>
      <c r="C1109" s="65">
        <f t="shared" si="47"/>
        <v>0</v>
      </c>
      <c r="E1109" s="3" t="str">
        <f t="shared" si="46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5"/>
        <v>51641</v>
      </c>
      <c r="B1110" s="46">
        <v>51641</v>
      </c>
      <c r="C1110" s="65">
        <f t="shared" si="47"/>
        <v>0</v>
      </c>
      <c r="E1110" s="3" t="str">
        <f t="shared" si="46"/>
        <v>2Q2041</v>
      </c>
      <c r="F1110" s="49" t="str">
        <f>+F1109</f>
        <v>N/A</v>
      </c>
    </row>
    <row r="1111" spans="1:6" ht="12.75">
      <c r="A1111" s="39">
        <f t="shared" si="45"/>
        <v>51672</v>
      </c>
      <c r="B1111" s="40">
        <v>51672</v>
      </c>
      <c r="C1111" s="65">
        <f t="shared" si="47"/>
        <v>0</v>
      </c>
      <c r="E1111" s="3" t="str">
        <f t="shared" si="46"/>
        <v>2Q2041</v>
      </c>
      <c r="F1111" s="49" t="str">
        <f>+F1110</f>
        <v>N/A</v>
      </c>
    </row>
    <row r="1112" spans="1:6" ht="12.75">
      <c r="A1112" s="39">
        <f t="shared" si="45"/>
        <v>51702</v>
      </c>
      <c r="B1112" s="40">
        <v>51702</v>
      </c>
      <c r="C1112" s="65">
        <f t="shared" si="47"/>
        <v>0</v>
      </c>
      <c r="E1112" s="3" t="str">
        <f t="shared" si="46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5"/>
        <v>51733</v>
      </c>
      <c r="B1113" s="46">
        <v>51733</v>
      </c>
      <c r="C1113" s="65">
        <f t="shared" si="47"/>
        <v>0</v>
      </c>
      <c r="E1113" s="3" t="str">
        <f t="shared" si="46"/>
        <v>3Q2041</v>
      </c>
      <c r="F1113" s="49" t="str">
        <f>+F1112</f>
        <v>N/A</v>
      </c>
    </row>
    <row r="1114" spans="1:6" ht="12.75">
      <c r="A1114" s="39">
        <f t="shared" si="45"/>
        <v>51764</v>
      </c>
      <c r="B1114" s="40">
        <v>51764</v>
      </c>
      <c r="C1114" s="65">
        <f t="shared" si="47"/>
        <v>0</v>
      </c>
      <c r="E1114" s="3" t="str">
        <f t="shared" si="46"/>
        <v>3Q2041</v>
      </c>
      <c r="F1114" s="49" t="str">
        <f>+F1113</f>
        <v>N/A</v>
      </c>
    </row>
    <row r="1115" spans="1:6" ht="12.75">
      <c r="A1115" s="39">
        <f t="shared" si="45"/>
        <v>51794</v>
      </c>
      <c r="B1115" s="40">
        <v>51794</v>
      </c>
      <c r="C1115" s="65">
        <f t="shared" si="47"/>
        <v>0</v>
      </c>
      <c r="E1115" s="3" t="str">
        <f t="shared" si="46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5"/>
        <v>51825</v>
      </c>
      <c r="B1116" s="46">
        <v>51825</v>
      </c>
      <c r="C1116" s="65">
        <f t="shared" si="47"/>
        <v>0</v>
      </c>
      <c r="E1116" s="3" t="str">
        <f t="shared" si="46"/>
        <v>4Q2041</v>
      </c>
      <c r="F1116" s="49" t="str">
        <f>+F1115</f>
        <v>N/A</v>
      </c>
    </row>
    <row r="1117" spans="1:6" ht="12.75">
      <c r="A1117" s="39">
        <f t="shared" si="45"/>
        <v>51855</v>
      </c>
      <c r="B1117" s="40">
        <v>51855</v>
      </c>
      <c r="C1117" s="65">
        <f t="shared" si="47"/>
        <v>0</v>
      </c>
      <c r="E1117" s="3" t="str">
        <f t="shared" si="46"/>
        <v>4Q2041</v>
      </c>
      <c r="F1117" s="49" t="str">
        <f>+F1116</f>
        <v>N/A</v>
      </c>
    </row>
    <row r="1118" spans="1:6" ht="12.75">
      <c r="A1118" s="39">
        <f t="shared" si="45"/>
        <v>51886</v>
      </c>
      <c r="B1118" s="40">
        <v>51886</v>
      </c>
      <c r="C1118" s="65">
        <f t="shared" si="47"/>
        <v>0</v>
      </c>
      <c r="E1118" s="3" t="str">
        <f t="shared" si="46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5"/>
        <v>51917</v>
      </c>
      <c r="B1119" s="46">
        <v>51917</v>
      </c>
      <c r="C1119" s="65">
        <f t="shared" si="47"/>
        <v>0</v>
      </c>
      <c r="E1119" s="3" t="str">
        <f t="shared" si="46"/>
        <v>1Q2042</v>
      </c>
      <c r="F1119" s="49" t="str">
        <f>+F1118</f>
        <v>N/A</v>
      </c>
    </row>
    <row r="1120" spans="1:6" ht="12.75">
      <c r="A1120" s="39">
        <f t="shared" si="45"/>
        <v>51945</v>
      </c>
      <c r="B1120" s="40">
        <v>51945</v>
      </c>
      <c r="C1120" s="65">
        <f t="shared" si="47"/>
        <v>0</v>
      </c>
      <c r="E1120" s="3" t="str">
        <f t="shared" si="46"/>
        <v>1Q2042</v>
      </c>
      <c r="F1120" s="49" t="str">
        <f>+F1119</f>
        <v>N/A</v>
      </c>
    </row>
    <row r="1121" spans="1:6" ht="12.75">
      <c r="A1121" s="39">
        <f t="shared" si="45"/>
        <v>51976</v>
      </c>
      <c r="B1121" s="40">
        <v>51976</v>
      </c>
      <c r="C1121" s="65">
        <f t="shared" si="47"/>
        <v>0</v>
      </c>
      <c r="E1121" s="3" t="str">
        <f t="shared" si="46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5"/>
        <v>52006</v>
      </c>
      <c r="B1122" s="46">
        <v>52006</v>
      </c>
      <c r="C1122" s="65">
        <f t="shared" si="47"/>
        <v>0</v>
      </c>
      <c r="E1122" s="3" t="str">
        <f t="shared" si="46"/>
        <v>2Q2042</v>
      </c>
      <c r="F1122" s="49" t="str">
        <f>+F1121</f>
        <v>N/A</v>
      </c>
    </row>
    <row r="1123" spans="1:6" ht="12.75">
      <c r="A1123" s="39">
        <f t="shared" si="45"/>
        <v>52037</v>
      </c>
      <c r="B1123" s="40">
        <v>52037</v>
      </c>
      <c r="C1123" s="65">
        <f t="shared" si="47"/>
        <v>0</v>
      </c>
      <c r="E1123" s="3" t="str">
        <f t="shared" si="46"/>
        <v>2Q2042</v>
      </c>
      <c r="F1123" s="49" t="str">
        <f>+F1122</f>
        <v>N/A</v>
      </c>
    </row>
    <row r="1124" spans="1:6" ht="12.75">
      <c r="A1124" s="39">
        <f t="shared" si="45"/>
        <v>52067</v>
      </c>
      <c r="B1124" s="40">
        <v>52067</v>
      </c>
      <c r="C1124" s="65">
        <f t="shared" si="47"/>
        <v>0</v>
      </c>
      <c r="E1124" s="3" t="str">
        <f t="shared" si="46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5"/>
        <v>52098</v>
      </c>
      <c r="B1125" s="46">
        <v>52098</v>
      </c>
      <c r="C1125" s="65">
        <f t="shared" si="47"/>
        <v>0</v>
      </c>
      <c r="E1125" s="3" t="str">
        <f t="shared" si="46"/>
        <v>3Q2042</v>
      </c>
      <c r="F1125" s="49" t="str">
        <f>+F1124</f>
        <v>N/A</v>
      </c>
    </row>
    <row r="1126" spans="1:6" ht="12.75">
      <c r="A1126" s="39">
        <f t="shared" si="45"/>
        <v>52129</v>
      </c>
      <c r="B1126" s="40">
        <v>52129</v>
      </c>
      <c r="C1126" s="65">
        <f t="shared" si="47"/>
        <v>0</v>
      </c>
      <c r="E1126" s="3" t="str">
        <f t="shared" si="46"/>
        <v>3Q2042</v>
      </c>
      <c r="F1126" s="49" t="str">
        <f>+F1125</f>
        <v>N/A</v>
      </c>
    </row>
    <row r="1127" spans="1:6" ht="12.75">
      <c r="A1127" s="39">
        <f t="shared" si="45"/>
        <v>52159</v>
      </c>
      <c r="B1127" s="40">
        <v>52159</v>
      </c>
      <c r="C1127" s="65">
        <f t="shared" si="47"/>
        <v>0</v>
      </c>
      <c r="E1127" s="3" t="str">
        <f t="shared" si="46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5"/>
        <v>52190</v>
      </c>
      <c r="B1128" s="46">
        <v>52190</v>
      </c>
      <c r="C1128" s="65">
        <f t="shared" si="47"/>
        <v>0</v>
      </c>
      <c r="E1128" s="3" t="str">
        <f t="shared" si="46"/>
        <v>4Q2042</v>
      </c>
      <c r="F1128" s="49" t="str">
        <f>+F1127</f>
        <v>N/A</v>
      </c>
    </row>
    <row r="1129" spans="1:6" ht="12.75">
      <c r="A1129" s="39">
        <f t="shared" si="45"/>
        <v>52220</v>
      </c>
      <c r="B1129" s="40">
        <v>52220</v>
      </c>
      <c r="C1129" s="65">
        <f t="shared" si="47"/>
        <v>0</v>
      </c>
      <c r="E1129" s="3" t="str">
        <f t="shared" si="46"/>
        <v>4Q2042</v>
      </c>
      <c r="F1129" s="49" t="str">
        <f>+F1128</f>
        <v>N/A</v>
      </c>
    </row>
    <row r="1130" spans="1:6" ht="12.75">
      <c r="A1130" s="39">
        <f t="shared" si="45"/>
        <v>52251</v>
      </c>
      <c r="B1130" s="40">
        <v>52251</v>
      </c>
      <c r="C1130" s="65">
        <f t="shared" si="47"/>
        <v>0</v>
      </c>
      <c r="E1130" s="3" t="str">
        <f t="shared" si="46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5"/>
        <v>52282</v>
      </c>
      <c r="B1131" s="46">
        <v>52282</v>
      </c>
      <c r="C1131" s="65">
        <f t="shared" si="47"/>
        <v>0</v>
      </c>
      <c r="E1131" s="3" t="str">
        <f t="shared" si="46"/>
        <v>1Q2043</v>
      </c>
      <c r="F1131" s="49" t="str">
        <f>+F1130</f>
        <v>N/A</v>
      </c>
    </row>
    <row r="1132" spans="1:6" ht="12.75">
      <c r="A1132" s="39">
        <f t="shared" si="45"/>
        <v>52310</v>
      </c>
      <c r="B1132" s="40">
        <v>52310</v>
      </c>
      <c r="C1132" s="65">
        <f t="shared" si="47"/>
        <v>0</v>
      </c>
      <c r="E1132" s="3" t="str">
        <f t="shared" si="46"/>
        <v>1Q2043</v>
      </c>
      <c r="F1132" s="49" t="str">
        <f>+F1131</f>
        <v>N/A</v>
      </c>
    </row>
    <row r="1133" spans="1:6" ht="12.75">
      <c r="A1133" s="39">
        <f t="shared" si="45"/>
        <v>52341</v>
      </c>
      <c r="B1133" s="40">
        <v>52341</v>
      </c>
      <c r="C1133" s="65">
        <f t="shared" si="47"/>
        <v>0</v>
      </c>
      <c r="E1133" s="3" t="str">
        <f t="shared" si="46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5"/>
        <v>52371</v>
      </c>
      <c r="B1134" s="46">
        <v>52371</v>
      </c>
      <c r="C1134" s="65">
        <f t="shared" si="47"/>
        <v>0</v>
      </c>
      <c r="E1134" s="3" t="str">
        <f t="shared" si="46"/>
        <v>2Q2043</v>
      </c>
      <c r="F1134" s="49" t="str">
        <f>+F1133</f>
        <v>N/A</v>
      </c>
    </row>
    <row r="1135" spans="1:6" ht="12.75">
      <c r="A1135" s="39">
        <f t="shared" si="45"/>
        <v>52402</v>
      </c>
      <c r="B1135" s="40">
        <v>52402</v>
      </c>
      <c r="C1135" s="65">
        <f t="shared" si="47"/>
        <v>0</v>
      </c>
      <c r="E1135" s="3" t="str">
        <f t="shared" si="46"/>
        <v>2Q2043</v>
      </c>
      <c r="F1135" s="49" t="str">
        <f>+F1134</f>
        <v>N/A</v>
      </c>
    </row>
    <row r="1136" spans="1:6" ht="12.75">
      <c r="A1136" s="39">
        <f t="shared" si="45"/>
        <v>52432</v>
      </c>
      <c r="B1136" s="40">
        <v>52432</v>
      </c>
      <c r="C1136" s="65">
        <f t="shared" si="47"/>
        <v>0</v>
      </c>
      <c r="E1136" s="3" t="str">
        <f t="shared" si="46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5"/>
        <v>52463</v>
      </c>
      <c r="B1137" s="46">
        <v>52463</v>
      </c>
      <c r="C1137" s="65">
        <f t="shared" si="47"/>
        <v>0</v>
      </c>
      <c r="E1137" s="3" t="str">
        <f t="shared" si="46"/>
        <v>3Q2043</v>
      </c>
      <c r="F1137" s="49" t="str">
        <f>+F1136</f>
        <v>N/A</v>
      </c>
    </row>
    <row r="1138" spans="1:6" ht="12.75">
      <c r="A1138" s="39">
        <f t="shared" si="45"/>
        <v>52494</v>
      </c>
      <c r="B1138" s="40">
        <v>52494</v>
      </c>
      <c r="C1138" s="65">
        <f t="shared" si="47"/>
        <v>0</v>
      </c>
      <c r="E1138" s="3" t="str">
        <f t="shared" si="46"/>
        <v>3Q2043</v>
      </c>
      <c r="F1138" s="49" t="str">
        <f>+F1137</f>
        <v>N/A</v>
      </c>
    </row>
    <row r="1139" spans="1:6" ht="12.75">
      <c r="A1139" s="39">
        <f t="shared" si="45"/>
        <v>52524</v>
      </c>
      <c r="B1139" s="40">
        <v>52524</v>
      </c>
      <c r="C1139" s="65">
        <f t="shared" si="47"/>
        <v>0</v>
      </c>
      <c r="E1139" s="3" t="str">
        <f t="shared" si="46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5"/>
        <v>52555</v>
      </c>
      <c r="B1140" s="46">
        <v>52555</v>
      </c>
      <c r="C1140" s="65">
        <f t="shared" si="47"/>
        <v>0</v>
      </c>
      <c r="E1140" s="3" t="str">
        <f t="shared" si="46"/>
        <v>4Q2043</v>
      </c>
      <c r="F1140" s="49" t="str">
        <f>+F1139</f>
        <v>N/A</v>
      </c>
    </row>
    <row r="1141" spans="1:6" ht="12.75">
      <c r="A1141" s="39">
        <f t="shared" si="45"/>
        <v>52585</v>
      </c>
      <c r="B1141" s="40">
        <v>52585</v>
      </c>
      <c r="C1141" s="65">
        <f t="shared" si="47"/>
        <v>0</v>
      </c>
      <c r="E1141" s="3" t="str">
        <f t="shared" si="46"/>
        <v>4Q2043</v>
      </c>
      <c r="F1141" s="49" t="str">
        <f>+F1140</f>
        <v>N/A</v>
      </c>
    </row>
    <row r="1142" spans="1:6" ht="12.75">
      <c r="A1142" s="39">
        <f t="shared" si="45"/>
        <v>52616</v>
      </c>
      <c r="B1142" s="40">
        <v>52616</v>
      </c>
      <c r="C1142" s="65">
        <f t="shared" si="47"/>
        <v>0</v>
      </c>
      <c r="E1142" s="3" t="str">
        <f t="shared" si="46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5"/>
        <v>52647</v>
      </c>
      <c r="B1143" s="46">
        <v>52647</v>
      </c>
      <c r="C1143" s="65">
        <f t="shared" si="47"/>
        <v>0</v>
      </c>
      <c r="E1143" s="3" t="str">
        <f t="shared" si="46"/>
        <v>1Q2044</v>
      </c>
      <c r="F1143" s="49" t="str">
        <f>+F1142</f>
        <v>N/A</v>
      </c>
    </row>
    <row r="1144" spans="1:6" ht="12.75">
      <c r="A1144" s="39">
        <f t="shared" si="45"/>
        <v>52676</v>
      </c>
      <c r="B1144" s="40">
        <v>52676</v>
      </c>
      <c r="C1144" s="65">
        <f t="shared" si="47"/>
        <v>0</v>
      </c>
      <c r="E1144" s="3" t="str">
        <f t="shared" si="46"/>
        <v>1Q2044</v>
      </c>
      <c r="F1144" s="49" t="str">
        <f>+F1143</f>
        <v>N/A</v>
      </c>
    </row>
    <row r="1145" spans="1:6" ht="12.75">
      <c r="A1145" s="39">
        <f t="shared" si="45"/>
        <v>52707</v>
      </c>
      <c r="B1145" s="40">
        <v>52707</v>
      </c>
      <c r="C1145" s="65">
        <f t="shared" si="47"/>
        <v>0</v>
      </c>
      <c r="E1145" s="3" t="str">
        <f t="shared" si="46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5"/>
        <v>52737</v>
      </c>
      <c r="B1146" s="46">
        <v>52737</v>
      </c>
      <c r="C1146" s="65">
        <f t="shared" si="47"/>
        <v>0</v>
      </c>
      <c r="E1146" s="3" t="str">
        <f t="shared" si="46"/>
        <v>2Q2044</v>
      </c>
      <c r="F1146" s="49" t="str">
        <f>+F1145</f>
        <v>N/A</v>
      </c>
    </row>
    <row r="1147" spans="1:6" ht="12.75">
      <c r="A1147" s="39">
        <f t="shared" si="45"/>
        <v>52768</v>
      </c>
      <c r="B1147" s="40">
        <v>52768</v>
      </c>
      <c r="C1147" s="65">
        <f t="shared" si="47"/>
        <v>0</v>
      </c>
      <c r="E1147" s="3" t="str">
        <f t="shared" si="46"/>
        <v>2Q2044</v>
      </c>
      <c r="F1147" s="49" t="str">
        <f>+F1146</f>
        <v>N/A</v>
      </c>
    </row>
    <row r="1148" spans="1:6" ht="12.75">
      <c r="A1148" s="39">
        <f t="shared" si="45"/>
        <v>52798</v>
      </c>
      <c r="B1148" s="40">
        <v>52798</v>
      </c>
      <c r="C1148" s="65">
        <f t="shared" si="47"/>
        <v>0</v>
      </c>
      <c r="E1148" s="3" t="str">
        <f t="shared" si="46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5"/>
        <v>52829</v>
      </c>
      <c r="B1149" s="46">
        <v>52829</v>
      </c>
      <c r="C1149" s="65">
        <f t="shared" si="47"/>
        <v>0</v>
      </c>
      <c r="E1149" s="3" t="str">
        <f t="shared" si="46"/>
        <v>3Q2044</v>
      </c>
      <c r="F1149" s="49" t="str">
        <f>+F1148</f>
        <v>N/A</v>
      </c>
    </row>
    <row r="1150" spans="1:6" ht="12.75">
      <c r="A1150" s="39">
        <f t="shared" si="45"/>
        <v>52860</v>
      </c>
      <c r="B1150" s="40">
        <v>52860</v>
      </c>
      <c r="C1150" s="65">
        <f t="shared" si="47"/>
        <v>0</v>
      </c>
      <c r="E1150" s="3" t="str">
        <f t="shared" si="46"/>
        <v>3Q2044</v>
      </c>
      <c r="F1150" s="49" t="str">
        <f>+F1149</f>
        <v>N/A</v>
      </c>
    </row>
    <row r="1151" spans="1:6" ht="12.75">
      <c r="A1151" s="39">
        <f t="shared" si="45"/>
        <v>52890</v>
      </c>
      <c r="B1151" s="40">
        <v>52890</v>
      </c>
      <c r="C1151" s="65">
        <f t="shared" si="47"/>
        <v>0</v>
      </c>
      <c r="E1151" s="3" t="str">
        <f t="shared" si="46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5"/>
        <v>52921</v>
      </c>
      <c r="B1152" s="46">
        <v>52921</v>
      </c>
      <c r="C1152" s="65">
        <f t="shared" si="47"/>
        <v>0</v>
      </c>
      <c r="E1152" s="3" t="str">
        <f t="shared" si="46"/>
        <v>4Q2044</v>
      </c>
      <c r="F1152" s="49" t="str">
        <f>+F1151</f>
        <v>N/A</v>
      </c>
    </row>
    <row r="1153" spans="1:6" ht="12.75">
      <c r="A1153" s="39">
        <f t="shared" si="45"/>
        <v>52951</v>
      </c>
      <c r="B1153" s="40">
        <v>52951</v>
      </c>
      <c r="C1153" s="65">
        <f t="shared" si="47"/>
        <v>0</v>
      </c>
      <c r="E1153" s="3" t="str">
        <f t="shared" si="46"/>
        <v>4Q2044</v>
      </c>
      <c r="F1153" s="49" t="str">
        <f>+F1152</f>
        <v>N/A</v>
      </c>
    </row>
    <row r="1154" spans="1:6" ht="12.75">
      <c r="A1154" s="39">
        <f t="shared" si="45"/>
        <v>52982</v>
      </c>
      <c r="B1154" s="40">
        <v>52982</v>
      </c>
      <c r="C1154" s="65">
        <f t="shared" si="47"/>
        <v>0</v>
      </c>
      <c r="E1154" s="3" t="str">
        <f t="shared" si="46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5"/>
        <v>53013</v>
      </c>
      <c r="B1155" s="46">
        <v>53013</v>
      </c>
      <c r="C1155" s="65">
        <f t="shared" si="47"/>
        <v>0</v>
      </c>
      <c r="E1155" s="3" t="str">
        <f t="shared" si="46"/>
        <v>1Q2045</v>
      </c>
      <c r="F1155" s="49" t="str">
        <f>+F1154</f>
        <v>N/A</v>
      </c>
    </row>
    <row r="1156" spans="1:6" ht="12.75">
      <c r="A1156" s="39">
        <f t="shared" si="45"/>
        <v>53041</v>
      </c>
      <c r="B1156" s="40">
        <v>53041</v>
      </c>
      <c r="C1156" s="65">
        <f t="shared" si="47"/>
        <v>0</v>
      </c>
      <c r="E1156" s="3" t="str">
        <f t="shared" si="46"/>
        <v>1Q2045</v>
      </c>
      <c r="F1156" s="49" t="str">
        <f>+F1155</f>
        <v>N/A</v>
      </c>
    </row>
    <row r="1157" spans="1:6" ht="12.75">
      <c r="A1157" s="39">
        <f aca="true" t="shared" si="48" ref="A1157:A1165">+B1157</f>
        <v>53072</v>
      </c>
      <c r="B1157" s="40">
        <v>53072</v>
      </c>
      <c r="C1157" s="65">
        <f t="shared" si="47"/>
        <v>0</v>
      </c>
      <c r="E1157" s="3" t="str">
        <f t="shared" si="46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8"/>
        <v>53102</v>
      </c>
      <c r="B1158" s="46">
        <v>53102</v>
      </c>
      <c r="C1158" s="65">
        <f t="shared" si="47"/>
        <v>0</v>
      </c>
      <c r="E1158" s="3" t="str">
        <f t="shared" si="46"/>
        <v>2Q2045</v>
      </c>
      <c r="F1158" s="49" t="str">
        <f>+F1157</f>
        <v>N/A</v>
      </c>
    </row>
    <row r="1159" spans="1:6" ht="12.75">
      <c r="A1159" s="39">
        <f t="shared" si="48"/>
        <v>53133</v>
      </c>
      <c r="B1159" s="40">
        <v>53133</v>
      </c>
      <c r="C1159" s="65">
        <f t="shared" si="47"/>
        <v>0</v>
      </c>
      <c r="E1159" s="3" t="str">
        <f t="shared" si="46"/>
        <v>2Q2045</v>
      </c>
      <c r="F1159" s="49" t="str">
        <f>+F1158</f>
        <v>N/A</v>
      </c>
    </row>
    <row r="1160" spans="1:6" ht="12.75">
      <c r="A1160" s="39">
        <f t="shared" si="48"/>
        <v>53163</v>
      </c>
      <c r="B1160" s="40">
        <v>53163</v>
      </c>
      <c r="C1160" s="65">
        <f t="shared" si="47"/>
        <v>0</v>
      </c>
      <c r="E1160" s="3" t="str">
        <f t="shared" si="46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8"/>
        <v>53194</v>
      </c>
      <c r="B1161" s="46">
        <v>53194</v>
      </c>
      <c r="C1161" s="65">
        <f t="shared" si="47"/>
        <v>0</v>
      </c>
      <c r="E1161" s="3" t="str">
        <f t="shared" si="46"/>
        <v>3Q2045</v>
      </c>
      <c r="F1161" s="49" t="str">
        <f>+F1160</f>
        <v>N/A</v>
      </c>
    </row>
    <row r="1162" spans="1:6" ht="12.75">
      <c r="A1162" s="39">
        <f t="shared" si="48"/>
        <v>53225</v>
      </c>
      <c r="B1162" s="40">
        <v>53225</v>
      </c>
      <c r="C1162" s="65">
        <f t="shared" si="47"/>
        <v>0</v>
      </c>
      <c r="E1162" s="3" t="str">
        <f t="shared" si="46"/>
        <v>3Q2045</v>
      </c>
      <c r="F1162" s="49" t="str">
        <f>+F1161</f>
        <v>N/A</v>
      </c>
    </row>
    <row r="1163" spans="1:6" ht="12.75">
      <c r="A1163" s="39">
        <f t="shared" si="48"/>
        <v>53255</v>
      </c>
      <c r="B1163" s="40">
        <v>53255</v>
      </c>
      <c r="C1163" s="65">
        <f t="shared" si="47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8"/>
        <v>53286</v>
      </c>
      <c r="B1164" s="46">
        <v>53286</v>
      </c>
      <c r="C1164" s="65">
        <f t="shared" si="47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8"/>
        <v>53316</v>
      </c>
      <c r="B1165" s="40">
        <v>53316</v>
      </c>
      <c r="C1165" s="65">
        <f t="shared" si="47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2011-05-22T06:50:03Z</cp:lastPrinted>
  <dcterms:created xsi:type="dcterms:W3CDTF">2009-09-04T18:19:13Z</dcterms:created>
  <dcterms:modified xsi:type="dcterms:W3CDTF">2013-05-21T16:07:37Z</dcterms:modified>
  <cp:category/>
  <cp:version/>
  <cp:contentType/>
  <cp:contentStatus/>
</cp:coreProperties>
</file>